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חירון אקסל\"/>
    </mc:Choice>
  </mc:AlternateContent>
  <xr:revisionPtr revIDLastSave="0" documentId="13_ncr:1_{98DF93A0-82AE-49C8-8B1E-A6146D16F3A5}" xr6:coauthVersionLast="47" xr6:coauthVersionMax="47" xr10:uidLastSave="{00000000-0000-0000-0000-000000000000}"/>
  <bookViews>
    <workbookView xWindow="-120" yWindow="-120" windowWidth="20730" windowHeight="10845" activeTab="1" xr2:uid="{00000000-000D-0000-FFFF-FFFF00000000}"/>
  </bookViews>
  <sheets>
    <sheet name="קטגוריות מוצרים" sheetId="4" r:id="rId1"/>
    <sheet name="קטלוג" sheetId="1" r:id="rId2"/>
  </sheets>
  <definedNames>
    <definedName name="_xlnm._FilterDatabase" localSheetId="1" hidden="1">קטלוג!$A$2:$E$2</definedName>
  </definedNames>
  <calcPr calcId="191029"/>
</workbook>
</file>

<file path=xl/calcChain.xml><?xml version="1.0" encoding="utf-8"?>
<calcChain xmlns="http://schemas.openxmlformats.org/spreadsheetml/2006/main">
  <c r="D54" i="4" l="1"/>
  <c r="A54" i="4"/>
  <c r="D53" i="4"/>
  <c r="A53" i="4"/>
  <c r="D52" i="4"/>
  <c r="A52" i="4"/>
  <c r="G51" i="4"/>
  <c r="D51" i="4"/>
  <c r="A51" i="4"/>
  <c r="G50" i="4"/>
  <c r="D50" i="4"/>
  <c r="A50" i="4"/>
  <c r="G49" i="4"/>
  <c r="D49" i="4"/>
  <c r="A49" i="4"/>
  <c r="G48" i="4"/>
  <c r="D48" i="4"/>
  <c r="A48" i="4"/>
  <c r="G47" i="4"/>
  <c r="D47" i="4"/>
  <c r="A47" i="4"/>
  <c r="G46" i="4"/>
  <c r="D46" i="4"/>
  <c r="A46" i="4"/>
  <c r="G45" i="4"/>
  <c r="D45" i="4"/>
  <c r="A45" i="4"/>
  <c r="G44" i="4"/>
  <c r="D44" i="4"/>
  <c r="A44" i="4"/>
  <c r="G43" i="4"/>
  <c r="D43" i="4"/>
  <c r="A43" i="4"/>
  <c r="G42" i="4"/>
  <c r="D42" i="4"/>
  <c r="A42" i="4"/>
  <c r="G41" i="4"/>
  <c r="D41" i="4"/>
  <c r="A41" i="4"/>
  <c r="G40" i="4"/>
  <c r="D40" i="4"/>
  <c r="A40" i="4"/>
  <c r="G39" i="4"/>
  <c r="D39" i="4"/>
  <c r="A39" i="4"/>
  <c r="G38" i="4"/>
  <c r="D38" i="4"/>
  <c r="A38" i="4"/>
  <c r="G37" i="4"/>
  <c r="D37" i="4"/>
  <c r="A37" i="4"/>
  <c r="G36" i="4"/>
  <c r="D36" i="4"/>
  <c r="A36" i="4"/>
  <c r="G35" i="4"/>
  <c r="D35" i="4"/>
  <c r="A35" i="4"/>
  <c r="G34" i="4"/>
  <c r="D34" i="4"/>
  <c r="A34" i="4"/>
  <c r="G33" i="4"/>
  <c r="D33" i="4"/>
  <c r="A33" i="4"/>
  <c r="G32" i="4"/>
  <c r="D32" i="4"/>
  <c r="A32" i="4"/>
  <c r="G31" i="4"/>
  <c r="D31" i="4"/>
  <c r="A31" i="4"/>
  <c r="G30" i="4"/>
  <c r="D30" i="4"/>
  <c r="A30" i="4"/>
  <c r="G29" i="4"/>
  <c r="D29" i="4"/>
  <c r="A29" i="4"/>
  <c r="G28" i="4"/>
  <c r="D28" i="4"/>
  <c r="A28" i="4"/>
  <c r="G27" i="4"/>
  <c r="D27" i="4"/>
  <c r="A27" i="4"/>
  <c r="G26" i="4"/>
  <c r="D26" i="4"/>
  <c r="A26" i="4"/>
  <c r="G25" i="4"/>
  <c r="D25" i="4"/>
  <c r="A25" i="4"/>
  <c r="G24" i="4"/>
  <c r="D24" i="4"/>
  <c r="A24" i="4"/>
  <c r="G23" i="4"/>
  <c r="D23" i="4"/>
  <c r="A23" i="4"/>
  <c r="G22" i="4"/>
  <c r="D22" i="4"/>
  <c r="A22" i="4"/>
  <c r="G21" i="4"/>
  <c r="D21" i="4"/>
  <c r="A21" i="4"/>
  <c r="G20" i="4"/>
  <c r="D20" i="4"/>
  <c r="A20" i="4"/>
  <c r="G19" i="4"/>
  <c r="D19" i="4"/>
  <c r="A19" i="4"/>
  <c r="G18" i="4"/>
  <c r="D18" i="4"/>
  <c r="A18" i="4"/>
  <c r="G17" i="4"/>
  <c r="D17" i="4"/>
  <c r="A17" i="4"/>
  <c r="D12" i="4"/>
  <c r="A12" i="4"/>
  <c r="D11" i="4"/>
  <c r="A11" i="4"/>
  <c r="G10" i="4"/>
  <c r="D10" i="4"/>
  <c r="A10" i="4"/>
  <c r="G9" i="4"/>
  <c r="D9" i="4"/>
  <c r="A9" i="4"/>
  <c r="G8" i="4"/>
  <c r="D8" i="4"/>
  <c r="A8" i="4"/>
  <c r="G7" i="4"/>
  <c r="D7" i="4"/>
  <c r="A7" i="4"/>
  <c r="G6" i="4"/>
  <c r="D6" i="4"/>
  <c r="A6" i="4"/>
  <c r="G5" i="4"/>
  <c r="D5" i="4"/>
  <c r="A5" i="4"/>
  <c r="A2248" i="1"/>
  <c r="A2247" i="1"/>
  <c r="A2246" i="1"/>
  <c r="A2245" i="1"/>
  <c r="A2244" i="1"/>
  <c r="A2243" i="1"/>
  <c r="A2242" i="1"/>
  <c r="A2241" i="1"/>
  <c r="A2240" i="1"/>
  <c r="A2239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5" i="1"/>
  <c r="A2214" i="1"/>
  <c r="A2213" i="1"/>
  <c r="A2212" i="1"/>
  <c r="A2211" i="1"/>
  <c r="A2209" i="1"/>
  <c r="A2208" i="1"/>
  <c r="A2207" i="1"/>
  <c r="A2206" i="1"/>
  <c r="A2205" i="1"/>
  <c r="A2204" i="1"/>
  <c r="A2203" i="1"/>
  <c r="A2202" i="1"/>
  <c r="A2201" i="1"/>
  <c r="A2200" i="1"/>
  <c r="A2199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39" i="1"/>
  <c r="A2138" i="1"/>
  <c r="A2137" i="1"/>
  <c r="A2136" i="1"/>
  <c r="A2135" i="1"/>
  <c r="A2134" i="1"/>
  <c r="A2133" i="1"/>
  <c r="A2132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7" i="1"/>
  <c r="A2116" i="1"/>
  <c r="A2115" i="1"/>
  <c r="A2113" i="1"/>
  <c r="A2112" i="1"/>
  <c r="A2111" i="1"/>
  <c r="A2110" i="1"/>
  <c r="A2109" i="1"/>
  <c r="A2108" i="1"/>
  <c r="A2107" i="1"/>
  <c r="A2106" i="1"/>
  <c r="A2105" i="1"/>
  <c r="A2104" i="1"/>
  <c r="A2103" i="1"/>
  <c r="A2101" i="1"/>
  <c r="A2100" i="1"/>
  <c r="A2099" i="1"/>
  <c r="A2098" i="1"/>
  <c r="A2097" i="1"/>
  <c r="A2096" i="1"/>
  <c r="A2095" i="1"/>
  <c r="A2093" i="1"/>
  <c r="A2092" i="1"/>
  <c r="A2091" i="1"/>
  <c r="A2090" i="1"/>
  <c r="A2089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6" i="1"/>
  <c r="A2015" i="1"/>
  <c r="A2014" i="1"/>
  <c r="A2013" i="1"/>
  <c r="A2012" i="1"/>
  <c r="A2011" i="1"/>
  <c r="A2010" i="1"/>
  <c r="A2009" i="1"/>
  <c r="A2008" i="1"/>
  <c r="A2007" i="1"/>
  <c r="A2005" i="1"/>
  <c r="A2004" i="1"/>
  <c r="A2003" i="1"/>
  <c r="A2002" i="1"/>
  <c r="A2001" i="1"/>
  <c r="A2000" i="1"/>
  <c r="A1999" i="1"/>
  <c r="A1998" i="1"/>
  <c r="A1997" i="1"/>
  <c r="A1996" i="1"/>
  <c r="A1995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6" i="1"/>
  <c r="A1915" i="1"/>
  <c r="A1912" i="1"/>
  <c r="A1911" i="1"/>
  <c r="A1910" i="1"/>
  <c r="A1908" i="1"/>
  <c r="A1907" i="1"/>
  <c r="A1906" i="1"/>
  <c r="A1905" i="1"/>
  <c r="A1903" i="1"/>
  <c r="A1902" i="1"/>
  <c r="A1901" i="1"/>
  <c r="A1900" i="1"/>
  <c r="A1899" i="1"/>
  <c r="A1898" i="1"/>
  <c r="A1897" i="1"/>
  <c r="A1896" i="1"/>
  <c r="A1895" i="1"/>
  <c r="A1894" i="1"/>
  <c r="A1893" i="1"/>
  <c r="A1891" i="1"/>
  <c r="A1890" i="1"/>
  <c r="A1889" i="1"/>
  <c r="A1888" i="1"/>
  <c r="A1887" i="1"/>
  <c r="A1886" i="1"/>
  <c r="A1885" i="1"/>
  <c r="A1884" i="1"/>
  <c r="A1883" i="1"/>
  <c r="A1882" i="1"/>
  <c r="A1881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4" i="1"/>
  <c r="A1863" i="1"/>
  <c r="A1862" i="1"/>
  <c r="A1861" i="1"/>
  <c r="A1860" i="1"/>
  <c r="A1859" i="1"/>
  <c r="A1858" i="1"/>
  <c r="A1857" i="1"/>
  <c r="A1856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0" i="1"/>
  <c r="A1709" i="1"/>
  <c r="A1708" i="1"/>
  <c r="A1707" i="1"/>
  <c r="A1706" i="1"/>
  <c r="A1705" i="1"/>
  <c r="A1704" i="1"/>
  <c r="A1703" i="1"/>
  <c r="A1702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1" i="1"/>
  <c r="A1580" i="1"/>
  <c r="A1579" i="1"/>
  <c r="A1578" i="1"/>
  <c r="A1577" i="1"/>
  <c r="A1576" i="1"/>
  <c r="A1575" i="1"/>
  <c r="A1574" i="1"/>
  <c r="A1573" i="1"/>
  <c r="A1572" i="1"/>
  <c r="A1571" i="1"/>
  <c r="A1569" i="1"/>
  <c r="A1568" i="1"/>
  <c r="A1567" i="1"/>
  <c r="A1566" i="1"/>
  <c r="A1565" i="1"/>
  <c r="A1564" i="1"/>
  <c r="A1563" i="1"/>
  <c r="A1562" i="1"/>
  <c r="A1560" i="1"/>
  <c r="A1559" i="1"/>
  <c r="A1558" i="1"/>
  <c r="A1557" i="1"/>
  <c r="A1556" i="1"/>
  <c r="A1555" i="1"/>
  <c r="A1554" i="1"/>
  <c r="A1553" i="1"/>
  <c r="A1552" i="1"/>
  <c r="A1551" i="1"/>
  <c r="A1549" i="1"/>
  <c r="A1548" i="1"/>
  <c r="A1547" i="1"/>
  <c r="A1546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2" i="1"/>
  <c r="A1501" i="1"/>
  <c r="A1500" i="1"/>
  <c r="A1499" i="1"/>
  <c r="A1498" i="1"/>
  <c r="A1497" i="1"/>
  <c r="A1496" i="1"/>
  <c r="A1495" i="1"/>
  <c r="A1494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3" i="1"/>
  <c r="A1452" i="1"/>
  <c r="A1451" i="1"/>
  <c r="A1450" i="1"/>
  <c r="A1448" i="1"/>
  <c r="A1447" i="1"/>
  <c r="A1446" i="1"/>
  <c r="A1445" i="1"/>
  <c r="A1444" i="1"/>
  <c r="A1443" i="1"/>
  <c r="A1442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5" i="1"/>
  <c r="A1234" i="1"/>
  <c r="A1233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7" i="1"/>
  <c r="A1136" i="1"/>
  <c r="A1135" i="1"/>
  <c r="A1134" i="1"/>
  <c r="A1133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3" i="1"/>
  <c r="A1042" i="1"/>
  <c r="A1041" i="1"/>
  <c r="A1040" i="1"/>
  <c r="A1039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999" i="1"/>
  <c r="A998" i="1"/>
  <c r="A996" i="1"/>
  <c r="A995" i="1"/>
  <c r="A994" i="1"/>
  <c r="A993" i="1"/>
  <c r="A992" i="1"/>
  <c r="A991" i="1"/>
  <c r="A989" i="1"/>
  <c r="A988" i="1"/>
  <c r="A987" i="1"/>
  <c r="A986" i="1"/>
  <c r="A984" i="1"/>
  <c r="A983" i="1"/>
  <c r="A982" i="1"/>
  <c r="A981" i="1"/>
  <c r="A980" i="1"/>
  <c r="A979" i="1"/>
  <c r="A977" i="1"/>
  <c r="A976" i="1"/>
  <c r="A975" i="1"/>
  <c r="A974" i="1"/>
  <c r="A973" i="1"/>
  <c r="A971" i="1"/>
  <c r="A970" i="1"/>
  <c r="A969" i="1"/>
  <c r="A968" i="1"/>
  <c r="A967" i="1"/>
  <c r="A966" i="1"/>
  <c r="A965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0" i="1"/>
  <c r="A889" i="1"/>
  <c r="A888" i="1"/>
  <c r="A887" i="1"/>
  <c r="A886" i="1"/>
  <c r="A885" i="1"/>
  <c r="A884" i="1"/>
  <c r="A883" i="1"/>
  <c r="A882" i="1"/>
  <c r="A881" i="1"/>
  <c r="A880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19" i="1"/>
  <c r="A818" i="1"/>
  <c r="A817" i="1"/>
  <c r="A816" i="1"/>
  <c r="A815" i="1"/>
  <c r="A814" i="1"/>
  <c r="A813" i="1"/>
  <c r="A811" i="1"/>
  <c r="A810" i="1"/>
  <c r="A808" i="1"/>
  <c r="A807" i="1"/>
  <c r="A806" i="1"/>
  <c r="A804" i="1"/>
  <c r="A803" i="1"/>
  <c r="A802" i="1"/>
  <c r="A801" i="1"/>
  <c r="A799" i="1"/>
  <c r="A798" i="1"/>
  <c r="A797" i="1"/>
  <c r="A796" i="1"/>
  <c r="A795" i="1"/>
  <c r="A794" i="1"/>
  <c r="A793" i="1"/>
  <c r="A792" i="1"/>
  <c r="A791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5" i="1"/>
  <c r="A774" i="1"/>
  <c r="A773" i="1"/>
  <c r="A772" i="1"/>
  <c r="A771" i="1"/>
  <c r="A770" i="1"/>
  <c r="A769" i="1"/>
  <c r="A768" i="1"/>
  <c r="A767" i="1"/>
  <c r="A766" i="1"/>
  <c r="A765" i="1"/>
  <c r="A763" i="1"/>
  <c r="A762" i="1"/>
  <c r="A761" i="1"/>
  <c r="A760" i="1"/>
  <c r="A759" i="1"/>
  <c r="A758" i="1"/>
  <c r="A757" i="1"/>
  <c r="A755" i="1"/>
  <c r="A754" i="1"/>
  <c r="A753" i="1"/>
  <c r="A752" i="1"/>
  <c r="A751" i="1"/>
  <c r="A750" i="1"/>
  <c r="A749" i="1"/>
  <c r="A748" i="1"/>
  <c r="A747" i="1"/>
  <c r="A745" i="1"/>
  <c r="A744" i="1"/>
  <c r="A743" i="1"/>
  <c r="A742" i="1"/>
  <c r="A741" i="1"/>
  <c r="A740" i="1"/>
  <c r="A739" i="1"/>
  <c r="A738" i="1"/>
  <c r="A737" i="1"/>
  <c r="A736" i="1"/>
  <c r="A735" i="1"/>
  <c r="A732" i="1"/>
  <c r="A731" i="1"/>
  <c r="A730" i="1"/>
  <c r="A729" i="1"/>
  <c r="A728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2" i="1"/>
  <c r="A711" i="1"/>
  <c r="A710" i="1"/>
  <c r="A709" i="1"/>
  <c r="A708" i="1"/>
  <c r="A707" i="1"/>
  <c r="A706" i="1"/>
  <c r="A705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7" i="1"/>
  <c r="A586" i="1"/>
  <c r="A585" i="1"/>
  <c r="A583" i="1"/>
  <c r="A582" i="1"/>
  <c r="A581" i="1"/>
  <c r="A579" i="1"/>
  <c r="A578" i="1"/>
  <c r="A577" i="1"/>
  <c r="A576" i="1"/>
  <c r="A575" i="1"/>
  <c r="A574" i="1"/>
  <c r="A573" i="1"/>
  <c r="A572" i="1"/>
  <c r="A571" i="1"/>
  <c r="A570" i="1"/>
  <c r="A569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2" i="1"/>
  <c r="A431" i="1"/>
  <c r="A430" i="1"/>
  <c r="A429" i="1"/>
  <c r="A428" i="1"/>
  <c r="A427" i="1"/>
  <c r="A426" i="1"/>
  <c r="A425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30" i="1"/>
  <c r="A129" i="1"/>
  <c r="A128" i="1"/>
  <c r="A127" i="1"/>
  <c r="A126" i="1"/>
  <c r="A125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<sst xmlns="http://schemas.openxmlformats.org/spreadsheetml/2006/main" count="6710" uniqueCount="4322">
  <si>
    <t>שם פריט</t>
  </si>
  <si>
    <t>מק"ט</t>
  </si>
  <si>
    <t>*</t>
  </si>
  <si>
    <t>ברקוד</t>
  </si>
  <si>
    <t>יחידת מידה</t>
  </si>
  <si>
    <t>מגשרי רשת נחושת</t>
  </si>
  <si>
    <t>כ"א</t>
  </si>
  <si>
    <t>מגשר מסוכך CAT6a נחושת 0.15 מטר אפור</t>
  </si>
  <si>
    <t>מגשר מסוכך CAT6a נחושת 0.2 מטר אפור</t>
  </si>
  <si>
    <t>מגשרים CAT6a CCA אקונומי</t>
  </si>
  <si>
    <t>מגשרים RJ45 CAT7 נחושת סיכוך כפול</t>
  </si>
  <si>
    <t>מגשרים RJ45 CAT6</t>
  </si>
  <si>
    <t>מגשרים RJ45 CAT5e</t>
  </si>
  <si>
    <t>כבלים RJ45/RJ11 שונים</t>
  </si>
  <si>
    <t>מגשרי רשת אופטיים</t>
  </si>
  <si>
    <t>מגשרים אופטיים MULTIMODE 50/125</t>
  </si>
  <si>
    <t>מגשרים אופטיים MULTIMODE 62.5/125</t>
  </si>
  <si>
    <t>פיגטיילים אופטיים ואביזריהם, מתאמי פנל</t>
  </si>
  <si>
    <t>מתאמי פאנל אופטיים</t>
  </si>
  <si>
    <t>ממירי מדיה אופטיים</t>
  </si>
  <si>
    <t>מוצרים לפיקוד ושליטה ב-IR</t>
  </si>
  <si>
    <t>עיניות להרחקת IR</t>
  </si>
  <si>
    <t>קיט לומד IR עם כפתור הדלקה וכיבוי למקרן</t>
  </si>
  <si>
    <t>פיצול, מיתוג, הרחקה והמרה HDMI, DVI, VGA, RCA</t>
  </si>
  <si>
    <t>מפצלים HDMI</t>
  </si>
  <si>
    <t>ממתגים ומטריצות HDMI</t>
  </si>
  <si>
    <t>מרחיקים ומגברים HDMI</t>
  </si>
  <si>
    <t>ממירים HDMI</t>
  </si>
  <si>
    <t>מפצלים וממתגים VGA</t>
  </si>
  <si>
    <t>ממירים ומרחיקים VGA</t>
  </si>
  <si>
    <t>קופסאות מיתוג ומפצלים RCA</t>
  </si>
  <si>
    <t>ממתגים ומרחיקים KVM ו-USB</t>
  </si>
  <si>
    <t>מוצרי SDI</t>
  </si>
  <si>
    <t>כבלים HDMI, DVI, VGA</t>
  </si>
  <si>
    <t>כבלים HDMI2.1 8K@60HZ</t>
  </si>
  <si>
    <t>כבלים HDMI ראשי מתכת בשקית TopX</t>
  </si>
  <si>
    <t>כבלים HDMI בבליסטר TopX</t>
  </si>
  <si>
    <t>כבלים HDMI1.4 אקונומי</t>
  </si>
  <si>
    <t>כבלים HDMI דקים</t>
  </si>
  <si>
    <t>כבלים HDMI לבנים</t>
  </si>
  <si>
    <t>כבלים HDMI זוויתיים</t>
  </si>
  <si>
    <t>כבלים HDMI מאריכים זכר-נקבה</t>
  </si>
  <si>
    <t>כבלים HDMI לפאנל</t>
  </si>
  <si>
    <t>כבלי HDMI להשחלה ולחיצה</t>
  </si>
  <si>
    <t>כבלים HDMI-DVI</t>
  </si>
  <si>
    <t>כבל מיקרו HDMI TYPE D</t>
  </si>
  <si>
    <t>כבלים DVI</t>
  </si>
  <si>
    <t>כבלים VGA</t>
  </si>
  <si>
    <t>כבלים מפצלים VGA, DVI, HDMI</t>
  </si>
  <si>
    <t>כבלים ומתאמים DP ו-MDP</t>
  </si>
  <si>
    <t>כבלים ומתאמים DISPLAY PORT</t>
  </si>
  <si>
    <t>כבלים ומתאמים MINI DISPLAY PORT</t>
  </si>
  <si>
    <t>כבלים, ממירים ורכזות USB</t>
  </si>
  <si>
    <t>כבלים USB2.0</t>
  </si>
  <si>
    <t>כבלים USB2.0 עם מגבר מובנה</t>
  </si>
  <si>
    <t>כבלים מיני ומיקרו USB2.0</t>
  </si>
  <si>
    <t>כבלים USB3.0</t>
  </si>
  <si>
    <t>ממירים ומוצרי USB שונים</t>
  </si>
  <si>
    <t>כבלי קונסול לראוטרים וסוויצ'ים</t>
  </si>
  <si>
    <t>מתאמים USB</t>
  </si>
  <si>
    <t>כבלים לאייפון, סמארטפונים וטאבלטים</t>
  </si>
  <si>
    <t>כבלי מחשב שונים</t>
  </si>
  <si>
    <t>כבלים סריאליים ופרלליים (RS232, LPT)</t>
  </si>
  <si>
    <t>כבלים MOLEX, SATA, ESATA</t>
  </si>
  <si>
    <t>כבלי חשמל</t>
  </si>
  <si>
    <t>כבלי חשמל ומתאמים 220V</t>
  </si>
  <si>
    <t>כבלי חשמל חו"ל</t>
  </si>
  <si>
    <t>אביזרים לסידור ואיגוד כבלים</t>
  </si>
  <si>
    <t>כבלים ומתאמים אופטיים לאודיו TOSLINK</t>
  </si>
  <si>
    <t>כבלי אודיו אופטיים</t>
  </si>
  <si>
    <t>מתאמים וממירים לחיבור אודיו אופטי</t>
  </si>
  <si>
    <t>כבלי אודיו/וידאו PL, RCA</t>
  </si>
  <si>
    <t>כבל PL 3.5 סטריאו זכר-זכר</t>
  </si>
  <si>
    <t>כבל מאריך PL 3.5 סטריאו זכר-נקבה</t>
  </si>
  <si>
    <t>כבל אודיו PL 3.5 - 2xRCA</t>
  </si>
  <si>
    <t>כבלים PL 6.35 שונים</t>
  </si>
  <si>
    <t>כבלים ומתאמים PL, RCA שונים</t>
  </si>
  <si>
    <t>כבלים PL עם 3 טבעות = 4 מגעים (TRRS)</t>
  </si>
  <si>
    <t>כבל 1xRCA קואקסיאלי דיגיטלי</t>
  </si>
  <si>
    <t>כבל אודיו 2xRCA - 2xRCA</t>
  </si>
  <si>
    <t>כבלים 3xRCA - 3xRCA</t>
  </si>
  <si>
    <t>כבלים שונים</t>
  </si>
  <si>
    <t>מחברים ומתאמים</t>
  </si>
  <si>
    <t>מתאמים לקיסטון/גוויס/פאנל</t>
  </si>
  <si>
    <t>מחברים PL, RCA</t>
  </si>
  <si>
    <t>מחברים BNC, F</t>
  </si>
  <si>
    <t>מחברים D-TYPE</t>
  </si>
  <si>
    <t>מחברים VGA, DVI, HDMI</t>
  </si>
  <si>
    <t>מחברים RJ45</t>
  </si>
  <si>
    <t>כבלים ומחברי DC</t>
  </si>
  <si>
    <t>קופסאות תקשורת לקיר</t>
  </si>
  <si>
    <t>פאץ' פנלים לכבלי RJ45</t>
  </si>
  <si>
    <t>פאץ' פנלים לכבלים אופטיים</t>
  </si>
  <si>
    <t>פאץ' פנלים וציוד נוסף לארון תקשורת</t>
  </si>
  <si>
    <t>מתקנים וקופסאות חיבורים למולטימדיה</t>
  </si>
  <si>
    <t>כלי עבודה וטסטרים</t>
  </si>
  <si>
    <t>כלים וחומרי עבודה</t>
  </si>
  <si>
    <t>בודקי כבלים / טסטרים</t>
  </si>
  <si>
    <t>שונות</t>
  </si>
  <si>
    <t>מאווררים למחשב</t>
  </si>
  <si>
    <t>9518442727214</t>
  </si>
  <si>
    <t>9518442729140</t>
  </si>
  <si>
    <t>תוכן עניינים מקוצר</t>
  </si>
  <si>
    <t>קטגוריה</t>
  </si>
  <si>
    <t>שורה</t>
  </si>
  <si>
    <t>תוכן עניינים מפורט</t>
  </si>
  <si>
    <t>מגשר מסוכך CAT6a נחושת 0.25 מטר אפור</t>
  </si>
  <si>
    <t>מגשר מסוכך CAT6a נחושת 0.3 מטר אפור</t>
  </si>
  <si>
    <t>מגשר מסוכך CAT6a נחושת 0.5 מטר אפור</t>
  </si>
  <si>
    <t>מגשר מסוכך CAT6a נחושת 1 מטר אפור</t>
  </si>
  <si>
    <t>מגשר מסוכך CAT6a נחושת 1.5 מטר אפור</t>
  </si>
  <si>
    <t>מגשר מסוכך CAT6a נחושת 2 מטר אפור</t>
  </si>
  <si>
    <t>מגשר מסוכך CAT6a נחושת 2.5 מטר אפור</t>
  </si>
  <si>
    <t>מגשר מסוכך CAT6a נחושת 3 מטר אפור</t>
  </si>
  <si>
    <t>מגשר מסוכך CAT6a נחושת 5 מטר אפור</t>
  </si>
  <si>
    <t>מגשר מסוכך CAT6a נחושת 7 מטר אפור</t>
  </si>
  <si>
    <t>מגשר מסוכך CAT6a נחושת 7.5 מטר אפור</t>
  </si>
  <si>
    <t>מגשר מסוכך CAT6a נחושת 10 מטר אפור</t>
  </si>
  <si>
    <t>מגשר מסוכך CAT6a נחושת 15 מטר אפור</t>
  </si>
  <si>
    <t>מגשר מסוכך CAT6a נחושת 20 מטר אפור</t>
  </si>
  <si>
    <t>מגשר מסוכך CAT6a נחושת 25 מטר אפור</t>
  </si>
  <si>
    <t>מגשר מסוכך CAT6a נחושת 30 מטר אפור</t>
  </si>
  <si>
    <t>מגשר מסוכך CAT6a נחושת 40 מטר אפור</t>
  </si>
  <si>
    <t>מגשר מסוכך CAT6a נחושת 50 מטר אפור</t>
  </si>
  <si>
    <t>מגשר מסוכך CAT6a נחושת 0.15 מטר לבן</t>
  </si>
  <si>
    <t>מגשר מסוכך CAT6a נחושת 0.15 מטר שחור</t>
  </si>
  <si>
    <t>מגשר מסוכך CAT6a נחושת 0.15 מטר כחול</t>
  </si>
  <si>
    <t>מגשר מסוכך CAT6a נחושת 0.15 מטר ירוק</t>
  </si>
  <si>
    <t>מגשר מסוכך CAT6a נחושת 0.15 מטר כתום</t>
  </si>
  <si>
    <t>מגשר מסוכך CAT6a נחושת 0.15 מטר סגול</t>
  </si>
  <si>
    <t>מגשר מסוכך CAT6a נחושת 0.15 מטר אדום</t>
  </si>
  <si>
    <t>מגשר מסוכך CAT6a נחושת 0.15 מטר צהוב</t>
  </si>
  <si>
    <t>מגשר מסוכך CAT6a נחושת 0.25 מטר לבן</t>
  </si>
  <si>
    <t>מגשר מסוכך CAT6a נחושת 0.25 מטר שחור</t>
  </si>
  <si>
    <t>מגשר מסוכך CAT6a נחושת 0.25 מטר כחול</t>
  </si>
  <si>
    <t>מגשר מסוכך CAT6a נחושת 0.25 מטר ירוק</t>
  </si>
  <si>
    <t>מגשר מסוכך CAT6a נחושת 0.25 מטר כתום</t>
  </si>
  <si>
    <t>מגשר מסוכך CAT6a נחושת 0.25 מטר סגול</t>
  </si>
  <si>
    <t>מגשר מסוכך CAT6a נחושת 0.25 מטר אדום</t>
  </si>
  <si>
    <t>מגשר מסוכך CAT6a נחושת 0.25 מטר צהוב</t>
  </si>
  <si>
    <t>מגשר מסוכך CAT6a נחושת 0.5 מטר לבן</t>
  </si>
  <si>
    <t>מגשר מסוכך CAT6a נחושת 0.5 מטר שחור</t>
  </si>
  <si>
    <t>מגשר מסוכך CAT6a נחושת 0.5 מטר כחול</t>
  </si>
  <si>
    <t>מגשר מסוכך CAT6a נחושת 0.5 מטר ירוק</t>
  </si>
  <si>
    <t>מגשר מסוכך CAT6a נחושת 0.5 מטר כתום</t>
  </si>
  <si>
    <t>מגשר מסוכך CAT6a נחושת 0.5 מטר סגול</t>
  </si>
  <si>
    <t>מגשר מסוכך CAT6a נחושת 0.5 מטר אדום</t>
  </si>
  <si>
    <t>מגשר מסוכך CAT6a נחושת 0.5 מטר צהוב</t>
  </si>
  <si>
    <t>מגשר מסוכך CAT6a נחושת 1 מטר לבן</t>
  </si>
  <si>
    <t>מגשר מסוכך CAT6a נחושת 1 מטר שחור</t>
  </si>
  <si>
    <t>מגשר מסוכך CAT6a נחושת 1 מטר כחול</t>
  </si>
  <si>
    <t>מגשר מסוכך CAT6a נחושת 1 מטר ירוק</t>
  </si>
  <si>
    <t>מגשר מסוכך CAT6a נחושת 1 מטר כתום</t>
  </si>
  <si>
    <t>מגשר מסוכך CAT6a נחושת 1 מטר סגול</t>
  </si>
  <si>
    <t>מגשר מסוכך CAT6a נחושת 1 מטר אדום</t>
  </si>
  <si>
    <t>מגשר מסוכך CAT6a נחושת 1 מטר צהוב</t>
  </si>
  <si>
    <t>מגשר מסוכך CAT6a נחושת 1.5 מטר לבן</t>
  </si>
  <si>
    <t>מגשר מסוכך CAT6a נחושת 1.5 מטר שחור</t>
  </si>
  <si>
    <t>מגשר מסוכך CAT6a נחושת 1.5 מטר כחול</t>
  </si>
  <si>
    <t>מגשר מסוכך CAT6a נחושת 1.5 מטר ירוק</t>
  </si>
  <si>
    <t>מגשר מסוכך CAT6a נחושת 1.5 מטר כתום</t>
  </si>
  <si>
    <t>מגשר מסוכך CAT6a נחושת 1.5 מטר סגול</t>
  </si>
  <si>
    <t>מגשר מסוכך CAT6a נחושת 1.5 מטר אדום</t>
  </si>
  <si>
    <t>מגשר מסוכך CAT6a נחושת 1.5 מטר צהוב</t>
  </si>
  <si>
    <t>מגשר מסוכך CAT6a נחושת 2 מטר לבן</t>
  </si>
  <si>
    <t>מגשר מסוכך CAT6a נחושת 2 מטר שחור</t>
  </si>
  <si>
    <t>מגשר מסוכך CAT6a נחושת 2 מטר כחול</t>
  </si>
  <si>
    <t>מגשר מסוכך CAT6a נחושת 2 מטר ירוק</t>
  </si>
  <si>
    <t>מגשר מסוכך CAT6a נחושת 2 מטר כתום</t>
  </si>
  <si>
    <t>מגשר מסוכך CAT6a נחושת 2 מטר סגול</t>
  </si>
  <si>
    <t>מגשר מסוכך CAT6a נחושת 2 מטר אדום</t>
  </si>
  <si>
    <t>מגשר מסוכך CAT6a נחושת 2 מטר צהוב</t>
  </si>
  <si>
    <t>מגשר מסוכך CAT6a נחושת 2 מטר בורדו</t>
  </si>
  <si>
    <t>מגשר מסוכך CAT6a נחושת 3 מטר לבן</t>
  </si>
  <si>
    <t>מגשר מסוכך CAT6a נחושת 3 מטר שחור</t>
  </si>
  <si>
    <t>מגשר מסוכך CAT6a נחושת 3 מטר כחול</t>
  </si>
  <si>
    <t>מגשר מסוכך CAT6a נחושת 3 מטר ירוק</t>
  </si>
  <si>
    <t>מגשר מסוכך CAT6a נחושת 3 מטר כתום</t>
  </si>
  <si>
    <t>מגשר מסוכך CAT6a נחושת 3 מטר סגול</t>
  </si>
  <si>
    <t>מגשר מסוכך CAT6a נחושת 3 מטר אדום</t>
  </si>
  <si>
    <t>מגשר מסוכך CAT6a נחושת 3 מטר צהוב</t>
  </si>
  <si>
    <t>מגשר מסוכך CAT6a נחושת 3 מטר בורדו</t>
  </si>
  <si>
    <t>מגשר מסוכך CAT6a נחושת 5 מטר לבן</t>
  </si>
  <si>
    <t>מגשר מסוכך CAT6a נחושת 5 מטר שחור</t>
  </si>
  <si>
    <t>מגשר מסוכך CAT6a נחושת 5 מטר כחול</t>
  </si>
  <si>
    <t>מגשר מסוכך CAT6a נחושת 5 מטר ירוק</t>
  </si>
  <si>
    <t>מגשר מסוכך CAT6a נחושת 5 מטר כתום</t>
  </si>
  <si>
    <t>מגשר מסוכך CAT6a נחושת 5 מטר סגול</t>
  </si>
  <si>
    <t>מגשר מסוכך CAT6a נחושת 5 מטר אדום</t>
  </si>
  <si>
    <t>מגשר מסוכך CAT6a נחושת 5 מטר צהוב</t>
  </si>
  <si>
    <t>מגשר מסוכך CAT6a נחושת 5 מטר בורדו</t>
  </si>
  <si>
    <t>מגשר מסוכך CAT6a נחושת 7 מטר לבן</t>
  </si>
  <si>
    <t>מגשר מסוכך CAT6a נחושת 7 מטר שחור</t>
  </si>
  <si>
    <t>מגשר מסוכך CAT6a נחושת 7 מטר כחול</t>
  </si>
  <si>
    <t>מגשר מסוכך CAT6a נחושת 7 מטר ירוק</t>
  </si>
  <si>
    <t>מגשר מסוכך CAT6a נחושת 7 מטר כתום</t>
  </si>
  <si>
    <t>מגשר מסוכך CAT6a נחושת 7 מטר סגול</t>
  </si>
  <si>
    <t>מגשר מסוכך CAT6a נחושת 7 מטר אדום</t>
  </si>
  <si>
    <t>מגשר מסוכך CAT6a נחושת 7 מטר צהוב</t>
  </si>
  <si>
    <t>מגשר מסוכך CAT6a נחושת 7 מטר בורדו</t>
  </si>
  <si>
    <t>מגשר מסוכך CAT6a נחושת 10 מטר לבן</t>
  </si>
  <si>
    <t>מגשר מסוכך CAT6a נחושת 10 מטר שחור</t>
  </si>
  <si>
    <t>מגשר מסוכך CAT6a נחושת 10 מטר כחול</t>
  </si>
  <si>
    <t>מגשר מסוכך CAT6a נחושת 10 מטר ירוק</t>
  </si>
  <si>
    <t>מגשר מסוכך CAT6a נחושת 10 מטר כתום</t>
  </si>
  <si>
    <t>מגשר מסוכך CAT6a נחושת 10 מטר סגול</t>
  </si>
  <si>
    <t>מגשר מסוכך CAT6a נחושת 10 מטר אדום</t>
  </si>
  <si>
    <t>מגשר מסוכך CAT6a נחושת 10 מטר צהוב</t>
  </si>
  <si>
    <t>מגשר מסוכך CAT6a נחושת 10 מטר בורדו</t>
  </si>
  <si>
    <t>מגשר מסוכך CAT6a נחושת 15 מטר לבן</t>
  </si>
  <si>
    <t>מגשר מסוכך CAT6a נחושת 15 מטר שחור</t>
  </si>
  <si>
    <t>מגשר מסוכך CAT6a נחושת 15 מטר כחול</t>
  </si>
  <si>
    <t>מגשר מסוכך CAT6a נחושת 15 מטר ירוק</t>
  </si>
  <si>
    <t>מגשר מסוכך CAT6a נחושת 15 מטר כתום</t>
  </si>
  <si>
    <t>מגשר מסוכך CAT6a נחושת 15 מטר סגול</t>
  </si>
  <si>
    <t>מגשר מסוכך CAT6a נחושת 15 מטר אדום</t>
  </si>
  <si>
    <t>מגשר מסוכך CAT6a נחושת 15 מטר צהוב</t>
  </si>
  <si>
    <t>מגשר מסוכך CAT6a CCA באורך 0.25 מטר אפור</t>
  </si>
  <si>
    <t>מגשר מסוכך CAT6a CCA באורך 0.5 מטר אפור</t>
  </si>
  <si>
    <t>מגשר מסוכך CAT6a CCA באורך 1 מטר אפור</t>
  </si>
  <si>
    <t>מגשר מסוכך CAT6a CCA באורך 1.5 מטר אפור</t>
  </si>
  <si>
    <t>מגשר מסוכך CAT6a CCA באורך 2 מטר אפור</t>
  </si>
  <si>
    <t>מגשר מסוכך CAT6a CCA באורך 3 מטר אפור</t>
  </si>
  <si>
    <t>מגשר מסוכך CAT6a CCA באורך 5 מטר אפור</t>
  </si>
  <si>
    <t>מגשר מסוכך CAT6a CCA באורך 10 מטר אפור</t>
  </si>
  <si>
    <t>מגשר מסוכך CAT6a CCA באורך 15 מטר אפור</t>
  </si>
  <si>
    <t>מגשר מסוכך CAT6a CCA באורך 20 מטר אפור</t>
  </si>
  <si>
    <t>מגשר מסוכך CAT7 נחושת 0.15 מטר אפור</t>
  </si>
  <si>
    <t>מגשר מסוכך CAT7 נחושת 0.2 מטר אפור</t>
  </si>
  <si>
    <t>מגשר מסוכך CAT7 נחושת 0.25 מטר אפור</t>
  </si>
  <si>
    <t>מגשר מסוכך CAT7 נחושת 0.3 מטר אפור</t>
  </si>
  <si>
    <t>מגשר מסוכך CAT7 נחושת 0.5 מטר אפור</t>
  </si>
  <si>
    <t>מגשר מסוכך CAT7 נחושת 1 מטר אפור</t>
  </si>
  <si>
    <t>מגשר מסוכך CAT7 נחושת 1.5 מטר אפור</t>
  </si>
  <si>
    <t>מגשר מסוכך CAT7 נחושת 2 מטר אפור</t>
  </si>
  <si>
    <t>מגשר מסוכך CAT7 נחושת 3 מטר אפור</t>
  </si>
  <si>
    <t>מגשר מסוכך CAT7 נחושת 5 מטר אפור</t>
  </si>
  <si>
    <t>מגשר מסוכך CAT7 נחושת 7.5 מטר אפור</t>
  </si>
  <si>
    <t>מגשר מסוכך CAT7 נחושת 10 מטר אפור</t>
  </si>
  <si>
    <t>מגשר מסוכך CAT7 נחושת 15 מטר אפור</t>
  </si>
  <si>
    <t>מגשר מסוכך CAT7 נחושת 20 מטר אפור</t>
  </si>
  <si>
    <t>מגשר מסוכך CAT7 נחושת 25 מטר אפור</t>
  </si>
  <si>
    <t>מגשר מסוכך CAT7 נחושת 30 מטר אפור</t>
  </si>
  <si>
    <t>מגשר מסוכך CAT7 נחושת 40 מטר אפור</t>
  </si>
  <si>
    <t>מגשר מסוכך CAT7 נחושת 50 מטר אפור</t>
  </si>
  <si>
    <t>מגשר מסוכך CAT6 אורך 0.15 מטר אפור</t>
  </si>
  <si>
    <t>מגשר מסוכך CAT6 אורך 0.2 מטר אפור</t>
  </si>
  <si>
    <t>מגשר מסוכך CAT6 אורך 0.3 מטר אפור</t>
  </si>
  <si>
    <t>מגשר מסוכך CAT6 באורך 0.25 מטר אפור</t>
  </si>
  <si>
    <t>מגשר מסוכך CAT6 באורך 0.5 מטר אפור</t>
  </si>
  <si>
    <t>מגשר מסוכך CAT6 באורך 1 מטר אפור</t>
  </si>
  <si>
    <t>מגשר מסוכך CAT6 באורך 1.5 מטר אפור</t>
  </si>
  <si>
    <t>מגשר מסוכך CAT6 באורך 2 מטר אפור</t>
  </si>
  <si>
    <t>מגשר מסוכך CAT6 באורך 2.5 מטר אפור</t>
  </si>
  <si>
    <t>מגשר מסוכך CAT6 באורך 3 מטר אפור</t>
  </si>
  <si>
    <t>מגשר מסוכך CAT6 באורך 5 מטר אפור</t>
  </si>
  <si>
    <t>מגשר מסוכך CAT6 באורך 7.5 מטר אפור</t>
  </si>
  <si>
    <t>מגשר מסוכך CAT6 באורך 10 מטר אפור</t>
  </si>
  <si>
    <t>מגשר מסוכך CAT6 באורך 15 מטר אפור</t>
  </si>
  <si>
    <t>מגשר מסוכך CAT6 באורך 20 מטר אפור</t>
  </si>
  <si>
    <t>מגשר מסוכך CAT6 באורך 25 מטר אפור</t>
  </si>
  <si>
    <t>מגשר מסוכך CAT6 באורך 30 מטר אפור</t>
  </si>
  <si>
    <t>מגשר מסוכך CAT6 באורך 40 מטר אפור</t>
  </si>
  <si>
    <t>מגשר מסוכך CAT6 באורך 50 מטר אפור</t>
  </si>
  <si>
    <t>מגשר מסוכך CAT6 באורך 0.15 מטר שחור</t>
  </si>
  <si>
    <t>מגשר מסוכך CAT6 באורך 0.15 מטר כחול</t>
  </si>
  <si>
    <t>מגשר מסוכך CAT6 באורך 0.15 מטר ירוק</t>
  </si>
  <si>
    <t>מגשר מסוכך CAT6 באורך 0.15 מטר סגול</t>
  </si>
  <si>
    <t>מגשר מסוכך CAT6 באורך 0.15 מטר אדום</t>
  </si>
  <si>
    <t>מגשר מסוכך CAT6 באורך 0.15 מטר לבן</t>
  </si>
  <si>
    <t>מגשר מסוכך CAT6 באורך 0.15 מטר צהוב</t>
  </si>
  <si>
    <t>מגשר מסוכך CAT6 באורך 0.15 מטר כתום</t>
  </si>
  <si>
    <t>מגשר מסוכך CAT6 באורך 0.25 מטר שחור</t>
  </si>
  <si>
    <t>מגשר מסוכך CAT6 באורך 0.25 מטר כחול</t>
  </si>
  <si>
    <t>מגשר מסוכך CAT6 באורך 0.25 מטר ירוק</t>
  </si>
  <si>
    <t>מגשר מסוכך CAT6 באורך 0.25 מטר סגול</t>
  </si>
  <si>
    <t>מגשר מסוכך CAT6 באורך 0.25 מטר אדום</t>
  </si>
  <si>
    <t>מגשר מסוכך CAT6 באורך 0.25 מטר לבן</t>
  </si>
  <si>
    <t>מגשר מסוכך CAT6 באורך 0.25 מטר צהוב</t>
  </si>
  <si>
    <t>מגשר מסוכך CAT6 באורך 0.25 מטר כתום</t>
  </si>
  <si>
    <t>מגשר מסוכך CAT6 באורך 0.5 מטר שחור</t>
  </si>
  <si>
    <t>מגשר מסוכך CAT6 באורך 0.5 מטר כחול</t>
  </si>
  <si>
    <t>מגשר מסוכך CAT6 באורך 0.5 מטר ירוק</t>
  </si>
  <si>
    <t>מגשר מסוכך CAT6 באורך 0.5 מטר סגול</t>
  </si>
  <si>
    <t>מגשר מסוכך CAT6 באורך 0.5 מטר אדום</t>
  </si>
  <si>
    <t>מגשר מסוכך CAT6 באורך 0.5 מטר לבן</t>
  </si>
  <si>
    <t>מגשר מסוכך CAT6 באורך 0.5 מטר צהוב</t>
  </si>
  <si>
    <t>מגשר מסוכך CAT6 באורך 0.5 מטר כתום</t>
  </si>
  <si>
    <t>מגשר מסוכך CAT6 באורך 1 מטר שחור</t>
  </si>
  <si>
    <t>מגשר מסוכך CAT6 באורך 1 מטר כחול</t>
  </si>
  <si>
    <t>מגשר מסוכך CAT6 באורך 1 מטר ירוק</t>
  </si>
  <si>
    <t>מגשר מסוכך CAT6 באורך 1 מטר סגול</t>
  </si>
  <si>
    <t>מגשר מסוכך CAT6 באורך 1 מטר אדום</t>
  </si>
  <si>
    <t>מגשר מסוכך CAT6 באורך 1 מטר לבן</t>
  </si>
  <si>
    <t>מגשר מסוכך CAT6 באורך 1 מטר צהוב</t>
  </si>
  <si>
    <t>מגשר מסוכך CAT6 באורך 1 מטר כתום</t>
  </si>
  <si>
    <t>מגשר מסוכך CAT6 באורך 1.5 מטר שחור</t>
  </si>
  <si>
    <t>מגשר מסוכך CAT6 באורך 1.5 מטר כחול</t>
  </si>
  <si>
    <t>מגשר מסוכך CAT6 באורך 1.5 מטר ירוק</t>
  </si>
  <si>
    <t>מגשר מסוכך CAT6 באורך 1.5 מטר סגול</t>
  </si>
  <si>
    <t>מגשר מסוכך CAT6 באורך 1.5 מטר אדום</t>
  </si>
  <si>
    <t>מגשר מסוכך CAT6 באורך 1.5 מטר לבן</t>
  </si>
  <si>
    <t>מגשר מסוכך CAT6 באורך 1.5 מטר צהוב</t>
  </si>
  <si>
    <t>מגשר מסוכך CAT6 באורך 1.5 מטר כתום</t>
  </si>
  <si>
    <t>מגשר מסוכך CAT6 באורך 2 מטר שחור</t>
  </si>
  <si>
    <t>מגשר מסוכך CAT6 באורך 2 מטר כחול</t>
  </si>
  <si>
    <t>מגשר מסוכך CAT6 באורך 2 מטר ירוק</t>
  </si>
  <si>
    <t>מגשר מסוכך CAT6 באורך 2 מטר סגול</t>
  </si>
  <si>
    <t>מגשר מסוכך CAT6 באורך 2 מטר אדום</t>
  </si>
  <si>
    <t>מגשר מסוכך CAT6 באורך 2 מטר לבן</t>
  </si>
  <si>
    <t>מגשר מסוכך CAT6 באורך 2 מטר צהוב</t>
  </si>
  <si>
    <t>מגשר מסוכך CAT6 באורך 2 מטר כתום</t>
  </si>
  <si>
    <t>מגשר מסוכך CAT6 באורך 3 מטר שחור</t>
  </si>
  <si>
    <t>מגשר מסוכך CAT6 באורך 3 מטר כחול</t>
  </si>
  <si>
    <t>מגשר מסוכך CAT6 באורך 3 מטר ירוק</t>
  </si>
  <si>
    <t>מגשר מסוכך CAT6 באורך 3 מטר סגול</t>
  </si>
  <si>
    <t>מגשר מסוכך CAT6 באורך 3 מטר אדום</t>
  </si>
  <si>
    <t>מגשר מסוכך CAT6 באורך 3 מטר לבן</t>
  </si>
  <si>
    <t>מגשר מסוכך CAT6 באורך 3 מטר צהוב</t>
  </si>
  <si>
    <t>מגשר מסוכך CAT6 באורך 3 מטר כתום</t>
  </si>
  <si>
    <t>מגשר מסוכך CAT6 באורך 5 מטר שחור</t>
  </si>
  <si>
    <t>מגשר מסוכך CAT6 באורך 5 מטר כחול</t>
  </si>
  <si>
    <t>מגשר מסוכך CAT6 באורך 5 מטר ירוק</t>
  </si>
  <si>
    <t>מגשר מסוכך CAT6 באורך 5 מטר סגול</t>
  </si>
  <si>
    <t>מגשר מסוכך CAT6 באורך 5 מטר אדום</t>
  </si>
  <si>
    <t>מגשר מסוכך CAT6 באורך 5 מטר לבן</t>
  </si>
  <si>
    <t>מגשר מסוכך CAT6 באורך 5 מטר צהוב</t>
  </si>
  <si>
    <t>מגשר מסוכך CAT6 באורך 5 מטר כתום</t>
  </si>
  <si>
    <t>מגשר מסוכך CAT6 באורך 10 מטר שחור</t>
  </si>
  <si>
    <t>מגשר מסוכך CAT6 באורך 10 מטר כחול</t>
  </si>
  <si>
    <t>מגשר מסוכך CAT6 באורך 10 מטר ירוק</t>
  </si>
  <si>
    <t>מגשר מסוכך CAT6 באורך 10 מטר סגול</t>
  </si>
  <si>
    <t>מגשר מסוכך CAT6 באורך 10 מטר אדום</t>
  </si>
  <si>
    <t>מגשר מסוכך CAT6 באורך 10 מטר לבן</t>
  </si>
  <si>
    <t>מגשר מסוכך CAT6 באורך 10 מטר צהוב</t>
  </si>
  <si>
    <t>מגשר מסוכך CAT6 באורך 10 מטר כתום</t>
  </si>
  <si>
    <t>מגשר מסוכך CAT5e באורך 0.15 מטר אפור</t>
  </si>
  <si>
    <t>מגשר מסוכך CAT5e באורך 0.2 מטר אפור</t>
  </si>
  <si>
    <t>מגשר מסוכך CAT5e באורך 0.25 מטר אפור</t>
  </si>
  <si>
    <t>מגשר מסוכך CAT5e באורך 0.3 מטר אפור</t>
  </si>
  <si>
    <t>מגשר מסוכך CAT5e באורך 0.5 מטר אפור</t>
  </si>
  <si>
    <t>מגשר מסוכך CAT5e באורך 1 מטר אפור</t>
  </si>
  <si>
    <t>מגשר מסוכך CAT5e באורך 1.5 מטר אפור</t>
  </si>
  <si>
    <t>מגשר מסוכך CAT5e באורך 2 מטר אפור</t>
  </si>
  <si>
    <t>מגשר מסוכך CAT5e באורך 3 מטר אפור</t>
  </si>
  <si>
    <t>מגשר מסוכך CAT5e באורך 5 מטר אפור</t>
  </si>
  <si>
    <t>מגשר מסוכך CAT5e באורך 7.5 מטר אפור</t>
  </si>
  <si>
    <t>מגשר מסוכך CAT5e באורך 10 מטר אפור</t>
  </si>
  <si>
    <t>מגשר מסוכך CAT5e באורך 15 מטר אפור</t>
  </si>
  <si>
    <t>מגשר מסוכך CAT5e באורך 20 מטר אפור</t>
  </si>
  <si>
    <t>מגשר מסוכך CAT5e באורך 25 מטר אפור</t>
  </si>
  <si>
    <t>מגשר מסוכך CAT5e באורך 30 מטר אפור</t>
  </si>
  <si>
    <t>מגשר מסוכך CAT5e באורך 40 מטר אפור</t>
  </si>
  <si>
    <t>מגשר מסוכך CAT5e באורך 50 מטר אפור</t>
  </si>
  <si>
    <t>מגשר מסוכך CAT5e באורך 0.25 מטר לבן</t>
  </si>
  <si>
    <t>מגשר מסוכך CAT5e באורך 0.25 מטר שחור</t>
  </si>
  <si>
    <t>מגשר מסוכך CAT5e באורך 0.25 מטר ירוק</t>
  </si>
  <si>
    <t>מגשר מסוכך CAT5e באורך 0.25 מטר סגול</t>
  </si>
  <si>
    <t>מגשר מסוכך CAT5e באורך 0.25 מטר אדום</t>
  </si>
  <si>
    <t>מגשר מסוכך CAT5e באורך 0.25 מטר צהוב</t>
  </si>
  <si>
    <t>מגשר מסוכך CAT5e באורך 0.5 מטר ירוק</t>
  </si>
  <si>
    <t>מגשר מסוכך CAT5e באורך 1 מטר לבן</t>
  </si>
  <si>
    <t>מגשר מסוכך CAT5e באורך 1 מטר ירוק</t>
  </si>
  <si>
    <t>מגשר מסוכך CAT5e באורך 1 מטר סגול</t>
  </si>
  <si>
    <t>מגשר מסוכך CAT5e באורך 1 מטר אדום</t>
  </si>
  <si>
    <t>מגשר מסוכך CAT5e באורך 1.5 מטר סגול</t>
  </si>
  <si>
    <t>מגשר מסוכך CAT5e באורך 1.5 מטר צהוב</t>
  </si>
  <si>
    <t>מגשר מסוכך CAT5e באורך 2 מטר לבן</t>
  </si>
  <si>
    <t>מגשר מסוכך CAT5e באורך 2 מטר ירוק</t>
  </si>
  <si>
    <t>מגשר מסוכך CAT5e באורך 2 מטר סגול</t>
  </si>
  <si>
    <t>מגשר מסוכך CAT5e באורך 3 מטר לבן</t>
  </si>
  <si>
    <t>מגשר מסוכך CAT5e באורך 3 מטר סגול</t>
  </si>
  <si>
    <t>מגשר מסוכך CAT5e באורך 3 מטר צהוב</t>
  </si>
  <si>
    <t>מגשר מסוכך CAT5e באורך 5 מטר כחול</t>
  </si>
  <si>
    <t>מגשר מסוכך CAT5e באורך 5 מטר ירוק</t>
  </si>
  <si>
    <t>מגשר מסוכך CAT5e באורך 5 מטר סגול</t>
  </si>
  <si>
    <t>מגשר מסוכך CAT5e באורך 5 מטר אדום</t>
  </si>
  <si>
    <t>מגשר מסוכך CAT5e באורך 10 מטר ירוק</t>
  </si>
  <si>
    <t>מגשר מסוכך CAT5e באורך 10 מטר סגול</t>
  </si>
  <si>
    <t>מגשר מסוכך CAT5e באורך 10 מטר אדום</t>
  </si>
  <si>
    <t>כבל RJ11 - RJ45 אפור לטלפון באורך 1 מטר</t>
  </si>
  <si>
    <t>כבל RJ11 - RJ45 אפור לטלפון באורך 2 מטר</t>
  </si>
  <si>
    <t>כבל RJ11 - RJ45 אפור לטלפון באורך 3 מטר</t>
  </si>
  <si>
    <t>כבל RJ11 - RJ45 אפור לטלפון באורך 5 מטר</t>
  </si>
  <si>
    <t>כבל RJ11 - RJ45 אפור לטלפון באורך 10 מטר</t>
  </si>
  <si>
    <t>כבל RJ11 - RJ45 שחור לטלפון באורך 1 מטר</t>
  </si>
  <si>
    <t>כבל RJ11 - RJ45 שחור לטלפון באורך 2 מטר</t>
  </si>
  <si>
    <t>כבל RJ11 - RJ45 שחור לטלפון באורך 3 מטר</t>
  </si>
  <si>
    <t>כבל RJ45 זכר לנקבה על פנל + ברגים, 0.25 מטר</t>
  </si>
  <si>
    <t>כבל RJ45 זכר לנקבה על פנל + ברגים, 0.5 מטר</t>
  </si>
  <si>
    <t>כבל RJ45 זכר לנקבה על פנל + ברגים, 1 מטר</t>
  </si>
  <si>
    <t>כבל קצר RJ45 זכר זוויתי - RJ45 נקבה</t>
  </si>
  <si>
    <t>מגשר SM דופלקס LC-LC אורך 0.5מ</t>
  </si>
  <si>
    <t>מגשר SM דופלקס LC-LC אורך 1מ</t>
  </si>
  <si>
    <t>מגשר SM דופלקס LC-LC אורך 1.5מ</t>
  </si>
  <si>
    <t>מגשר SM דופלקס LC-LC אורך 2מ</t>
  </si>
  <si>
    <t>מגשר SM דופלקס LC-LC אורך 3מ</t>
  </si>
  <si>
    <t>מגשר SM דופלקס LC-LC אורך 5מ</t>
  </si>
  <si>
    <t>מגשר SM דופלקס LC-LC אורך 7מ</t>
  </si>
  <si>
    <t>מגשר SM דופלקס LC-LC אורך 10מ</t>
  </si>
  <si>
    <t>מגשר SM דופלקס LC-LC אורך 15מ</t>
  </si>
  <si>
    <t>מגשר SM דופלקס LC-LC אורך 20מ</t>
  </si>
  <si>
    <t>מגשר SM דופלקס LC-LC אורך 25מ</t>
  </si>
  <si>
    <t>מגשר SM דופלקס LC-LC אורך 30מ</t>
  </si>
  <si>
    <t>מגשר SM דופלקס LC-LC אורך 40מ</t>
  </si>
  <si>
    <t>מגשר SM דופלקס LC-LC אורך 50מ</t>
  </si>
  <si>
    <t>מגשר SM דופלקס LC-SC אורך 0.5מ</t>
  </si>
  <si>
    <t>מגשר SM דופלקס LC-SC אורך 1מ</t>
  </si>
  <si>
    <t>מגשר SM דופלקס LC-SC אורך 1.5מ</t>
  </si>
  <si>
    <t>מגשר SM דופלקס LC-SC אורך 2מ</t>
  </si>
  <si>
    <t>מגשר SM דופלקס LC-SC אורך 3מ</t>
  </si>
  <si>
    <t>מגשר SM דופלקס LC-SC אורך 5מ</t>
  </si>
  <si>
    <t>מגשר SM דופלקס LC-SC אורך 7מ</t>
  </si>
  <si>
    <t>מגשר SM דופלקס LC-SC אורך 10מ</t>
  </si>
  <si>
    <t>מגשר SM דופלקס LC-SC אורך 15מ</t>
  </si>
  <si>
    <t>מגשר SM דופלקס LC-SC אורך 20מ</t>
  </si>
  <si>
    <t>מגשר SM דופלקס LC-SC אורך 30מ</t>
  </si>
  <si>
    <t>מגשר SM דופלקס SC-SC אורך 1מ</t>
  </si>
  <si>
    <t>מגשר SM דופלקס SC-SC אורך 1.5מ</t>
  </si>
  <si>
    <t>מגשר SM דופלקס SC-SC אורך 2מ</t>
  </si>
  <si>
    <t>מגשר SM דופלקס SC-SC אורך 3מ</t>
  </si>
  <si>
    <t>מגשר SM דופלקס SC-SC אורך 5מ</t>
  </si>
  <si>
    <t>מגשר SM דופלקס SC-SC אורך 10מ</t>
  </si>
  <si>
    <t>מגשר SM דופלקס SC-SC אורך 15מ</t>
  </si>
  <si>
    <t>מגשר SM דופלקס SC-SC אורך 20מ</t>
  </si>
  <si>
    <t>מגשר SM דופלקס ST-SC אורך 1מ</t>
  </si>
  <si>
    <t>מגשר SM דופלקס ST-SC אורך 2מ</t>
  </si>
  <si>
    <t>מגשר SM דופלקס ST-SC אורך 3מ</t>
  </si>
  <si>
    <t>מגשר SM דופלקס ST-SC אורך 5מ</t>
  </si>
  <si>
    <t>מגשר SM דופלקס ST-SC אורך 15מ</t>
  </si>
  <si>
    <t>מגשר SM דופלקס ST-LC אורך 1מ</t>
  </si>
  <si>
    <t>מגשר SM דופלקס ST-LC אורך 1.5מ</t>
  </si>
  <si>
    <t>מגשר SM דופלקס ST-LC אורך 2מ</t>
  </si>
  <si>
    <t>מגשר SM דופלקס ST-LC אורך 3מ</t>
  </si>
  <si>
    <t>מגשר SM דופלקס ST-LC אורך 5מ</t>
  </si>
  <si>
    <t>מגשר SM דופלקס ST-LC אורך 7מ</t>
  </si>
  <si>
    <t>מגשר SM דופלקס ST-LC אורך 10מ</t>
  </si>
  <si>
    <t>מגשר SM דופלקס ST-LC אורך 15מ</t>
  </si>
  <si>
    <t>מגשר SM סימפלקס LC-LC אורך 1מ</t>
  </si>
  <si>
    <t>מגשר SM סימפלקס LC-LC אורך 2מ</t>
  </si>
  <si>
    <t>מגשר SM סימפלקס LC-LC אורך 3מ</t>
  </si>
  <si>
    <t>מגשר SM סימפלקס SC-SC אורך 1מ</t>
  </si>
  <si>
    <t>מגשר SM סימפלקס SC-SC אורך 2מ</t>
  </si>
  <si>
    <t>מגשר SM סימפלקס SC-SC אורך 3מ</t>
  </si>
  <si>
    <t>מגשר SM סימפלקס ST-SC אורך 1מ</t>
  </si>
  <si>
    <t>מגשר SM סימפלקס ST-SC אורך 2מ</t>
  </si>
  <si>
    <t>מגשר SM סימפלקס ST-SC אורך 3מ</t>
  </si>
  <si>
    <t>מגשר MM OM3 דופלקס LC-LC אורך 0.5מ</t>
  </si>
  <si>
    <t>מגשר MM OM3 דופלקס LC-LC אורך 1מ</t>
  </si>
  <si>
    <t>מגשר MM OM3 דופלקס LC-LC אורך 1.5מ</t>
  </si>
  <si>
    <t>מגשר MM OM3 דופלקס LC-LC אורך 2מ</t>
  </si>
  <si>
    <t>מגשר MM OM3 דופלקס LC-LC אורך 3מ</t>
  </si>
  <si>
    <t>מגשר MM OM3 דופלקס LC-LC אורך 5מ</t>
  </si>
  <si>
    <t>מגשר MM OM3 דופלקס LC-LC אורך 7מ</t>
  </si>
  <si>
    <t>מגשר MM OM3 דופלקס LC-LC אורך 10מ</t>
  </si>
  <si>
    <t>מגשר MM OM3 דופלקס LC-LC אורך 15מ</t>
  </si>
  <si>
    <t>מגשר MM OM3 דופלקס LC-LC אורך 20מ</t>
  </si>
  <si>
    <t>מגשר MM OM3 דופלקס LC-LC אורך 25מ</t>
  </si>
  <si>
    <t>מגשר MM OM3 דופלקס LC-LC אורך 30מ</t>
  </si>
  <si>
    <t>מגשר MM OM3 דופלקס LC-LC אורך 40מ (3MM)</t>
  </si>
  <si>
    <t>מגשר MM OM3 דופלקס LC-LC אורך 50מ (3MM)</t>
  </si>
  <si>
    <t>מגשר MM OM3 דופלקס LC-LC אורך 75מ (3MM)</t>
  </si>
  <si>
    <t>מגשר MM OM3 דופלקס LC-LC אורך 100מ (3MM)</t>
  </si>
  <si>
    <t>מגשר MM OM3 דופלקס LC-LC אורך 150מ (3MM)</t>
  </si>
  <si>
    <t>מגשר MM OM3 דופלקס LC-LC אורך 200מ (3MM)</t>
  </si>
  <si>
    <t>מגשר MM OM3 דופלקס LC-LC אורך 280מ (3MM)</t>
  </si>
  <si>
    <t>מגשר MM OM4 דופלקס LC-LC אורך 0.5מ</t>
  </si>
  <si>
    <t>מגשר MM OM4 דופלקס LC-LC אורך 1מ</t>
  </si>
  <si>
    <t>מגשר MM OM4 דופלקס LC-LC אורך 1.5מ</t>
  </si>
  <si>
    <t>מגשר MM OM4 דופלקס LC-LC אורך 2מ</t>
  </si>
  <si>
    <t>מגשר MM OM4 דופלקס LC-LC אורך 3מ</t>
  </si>
  <si>
    <t>מגשר MM OM4 דופלקס LC-LC אורך 5מ</t>
  </si>
  <si>
    <t>מגשר MM OM4 דופלקס LC-LC אורך 7מ</t>
  </si>
  <si>
    <t>מגשר MM OM4 דופלקס LC-LC אורך 10מ</t>
  </si>
  <si>
    <t>מגשר MM OM4 דופלקס LC-LC אורך 15מ</t>
  </si>
  <si>
    <t>מגשר MM OM4 דופלקס LC-LC אורך 20מ</t>
  </si>
  <si>
    <t>מגשר MM OM4 דופלקס LC-LC אורך 30מ</t>
  </si>
  <si>
    <t>מגשר MM OM4 דופלקס LC-LC אורך 40מ</t>
  </si>
  <si>
    <t>מגשר MM OM4 דופלקס LC-LC אורך 50מ</t>
  </si>
  <si>
    <t>מגשר MM OM5 דופלקס LC-LC אורך 0.5מ</t>
  </si>
  <si>
    <t>מגשר MM OM5 דופלקס LC-LC אורך 1מ</t>
  </si>
  <si>
    <t>מגשר MM OM5 דופלקס LC-LC אורך 1.5מ</t>
  </si>
  <si>
    <t>מגשר MM OM5 דופלקס LC-LC אורך 2מ</t>
  </si>
  <si>
    <t>מגשר MM OM5 דופלקס LC-LC אורך 3מ</t>
  </si>
  <si>
    <t>מגשר MM OM5 דופלקס LC-LC אורך 5מ</t>
  </si>
  <si>
    <t>מגשר MM OM5 דופלקס LC-LC אורך 10מ</t>
  </si>
  <si>
    <t>מגשר MM OM5 דופלקס LC-LC אורך 15מ</t>
  </si>
  <si>
    <t>מגשר MM OM5 דופלקס LC-LC אורך 20מ</t>
  </si>
  <si>
    <t>מגשר MM OM5 דופלקס LC-LC אורך 30מ</t>
  </si>
  <si>
    <t>מגשר MM OM3 דופלקס LC-SC אורך 0.5מ</t>
  </si>
  <si>
    <t>מגשר MM OM3 דופלקס LC-SC אורך 1מ</t>
  </si>
  <si>
    <t>מגשר MM OM3 דופלקס LC-SC אורך 1.5מ</t>
  </si>
  <si>
    <t>מגשר MM OM3 דופלקס LC-SC אורך 2מ</t>
  </si>
  <si>
    <t>מגשר MM OM3 דופלקס LC-SC אורך 3מ</t>
  </si>
  <si>
    <t>מגשר MM OM3 דופלקס LC-SC אורך 5מ</t>
  </si>
  <si>
    <t>מגשר MM OM3 דופלקס LC-SC אורך 10מ</t>
  </si>
  <si>
    <t>מגשר MM OM3 דופלקס LC-SC אורך 15מ</t>
  </si>
  <si>
    <t>מגשר MM OM3 דופלקס LC-SC אורך 20מ</t>
  </si>
  <si>
    <t>מגשר MM OM3 דופלקס LC-SC אורך 30מ</t>
  </si>
  <si>
    <t>מגשר MM OM4 דופלקס LC-SC אורך 1מ</t>
  </si>
  <si>
    <t>מגשר MM OM4 דופלקס LC-SC אורך 2מ</t>
  </si>
  <si>
    <t>מגשר MM OM4 דופלקס LC-SC אורך 3מ</t>
  </si>
  <si>
    <t>מגשר MM OM4 דופלקס LC-SC אורך 5מ</t>
  </si>
  <si>
    <t>מגשר MM OM4 דופלקס LC-SC אורך 10מ</t>
  </si>
  <si>
    <t>מגשר MM OM3 דופלקס SC-SC אורך 1מ</t>
  </si>
  <si>
    <t>מגשר MM OM3 דופלקס SC-SC אורך 2מ</t>
  </si>
  <si>
    <t>מגשר MM OM3 דופלקס SC-SC אורך 3מ</t>
  </si>
  <si>
    <t>מגשר MM OM3 דופלקס SC-SC אורך 5מ</t>
  </si>
  <si>
    <t>מגשר MM OM3 דופלקס SC-SC אורך 10מ</t>
  </si>
  <si>
    <t>מגשר MM OM3 דופלקס SC-SC אורך 15מ</t>
  </si>
  <si>
    <t>מגשר MM OM3 דופלקס SC-SC אורך 20מ</t>
  </si>
  <si>
    <t>מגשר MM OM4 דופלקס SC-SC אורך 1מ</t>
  </si>
  <si>
    <t>מגשר MM OM3 דופלקס ST-SC אורך 0.5מ</t>
  </si>
  <si>
    <t>מגשר MM OM3 דופלקס ST-SC אורך 1מ</t>
  </si>
  <si>
    <t>מגשר MM OM3 דופלקס ST-SC אורך 2מ</t>
  </si>
  <si>
    <t>מגשר MM OM3 דופלקס ST-SC אורך 3מ</t>
  </si>
  <si>
    <t>מגשר MM OM3 דופלקס ST-SC אורך 5מ</t>
  </si>
  <si>
    <t>מגשר MM OM3 דופלקס ST-SC אורך 10מ</t>
  </si>
  <si>
    <t>מגשר MM OM4 דופלקס ST-SC אורך 1מ</t>
  </si>
  <si>
    <t>מגשר MM OM4 דופלקס ST-SC אורך 2מ</t>
  </si>
  <si>
    <t>מגשר MM OM4 דופלקס ST-SC אורך 3מ</t>
  </si>
  <si>
    <t>מגשר MM OM4 דופלקס ST-SC אורך 5מ</t>
  </si>
  <si>
    <t>מגשר MM OM3 דופלקס ST-LC אורך 1מ</t>
  </si>
  <si>
    <t>מגשר MM OM3 דופלקס ST-LC אורך 1.5מ</t>
  </si>
  <si>
    <t>מגשר MM OM3 דופלקס ST-LC אורך 2מ</t>
  </si>
  <si>
    <t>מגשר MM OM3 דופלקס ST-LC אורך 3מ</t>
  </si>
  <si>
    <t>מגשר MM OM3 דופלקס ST-LC אורך 5מ</t>
  </si>
  <si>
    <t>מגשר MM OM3 דופלקס ST-LC אורך 10מ</t>
  </si>
  <si>
    <t>מגשר MM OM3 דופלקס ST-LC אורך 15מ</t>
  </si>
  <si>
    <t>מגשר MM OM3 דופלקס ST-LC אורך 20מ</t>
  </si>
  <si>
    <t>מגשר MM OM1 דופלקס LC-LC אורך 0.5מ</t>
  </si>
  <si>
    <t>מגשר MM OM1 דופלקס LC-LC אורך 1מ</t>
  </si>
  <si>
    <t>מגשר MM OM1 דופלקס LC-LC אורך 2מ</t>
  </si>
  <si>
    <t>מגשר MM OM1 דופלקס LC-LC אורך 3מ</t>
  </si>
  <si>
    <t>מגשר MM OM1 דופלקס LC-LC אורך 5מ</t>
  </si>
  <si>
    <t>מגשר MM OM1 דופלקס LC-LC אורך 10מ</t>
  </si>
  <si>
    <t>מגשר MM OM1 דופלקס LC-LC אורך 15מ</t>
  </si>
  <si>
    <t>מגשר MM OM1 דופלקס LC-LC אורך 20מ</t>
  </si>
  <si>
    <t>מגשר MM OM1 דופלקס LC-SC אורך 1מ</t>
  </si>
  <si>
    <t>מגשר MM OM1 דופלקס LC-SC אורך 2מ</t>
  </si>
  <si>
    <t>מגשר MM OM1 דופלקס LC-SC אורך 3מ</t>
  </si>
  <si>
    <t>מגשר MM OM1 דופלקס LC-SC אורך 5מ</t>
  </si>
  <si>
    <t>מגשר MM OM1 דופלקס LC-SC אורך 10מ</t>
  </si>
  <si>
    <t>מגשר MM OM1 דופלקס SC-SC אורך 1מ</t>
  </si>
  <si>
    <t>מגשר MM OM1 דופלקס SC-SC אורך 2מ</t>
  </si>
  <si>
    <t>מגשר MM OM1 דופלקס SC-SC אורך 3מ</t>
  </si>
  <si>
    <t>מגשר MM OM1 דופלקס SC-SC אורך 5מ</t>
  </si>
  <si>
    <t>מגשר MM OM1 דופלקס ST-SC אורך 1מ</t>
  </si>
  <si>
    <t>מגשר MM OM1 דופלקס ST-SC אורך 2מ</t>
  </si>
  <si>
    <t>מגשר MM OM1 דופלקס ST-SC אורך 3מ</t>
  </si>
  <si>
    <t>מגשר MM OM1 דופלקס ST-SC אורך 5מ</t>
  </si>
  <si>
    <t>מגשר MM OM1 דופלקס ST-LC אורך 1מ</t>
  </si>
  <si>
    <t>מגשר MM OM1 דופלקס ST-LC אורך 2מ</t>
  </si>
  <si>
    <t>מגשר MM OM1 דופלקס ST-LC אורך 3מ</t>
  </si>
  <si>
    <t>מגשר MM OM1 דופלקס ST-LC אורך 5מ</t>
  </si>
  <si>
    <t>מגשר MM OM1 דופלקס ST-LC אורך 10מ</t>
  </si>
  <si>
    <t>מארז 12 פיגטיילים</t>
  </si>
  <si>
    <t>סט פיגטייל אופטי, 12 צבעים LC/UPC OM3 1.5M</t>
  </si>
  <si>
    <t>סט פיגטייל אופטי, 12 צבעים SC/UPC OM3 1.5M</t>
  </si>
  <si>
    <t>סט פיגטייל אופטי, 12 צבעים ST/UPC OM3 1.5M</t>
  </si>
  <si>
    <t>סט פיגטייל אופטי, 12 צבעים LC/UPC OM1 1.5M</t>
  </si>
  <si>
    <t>סט פיגטייל אופטי, 12 צבעים SC/UPC OM1 1.5M</t>
  </si>
  <si>
    <t>סט פיגטייל אופטי, 12 צבעים ST/UPC OM1 1.5M</t>
  </si>
  <si>
    <t>סט פיגטייל אופטי, 12 צבעים LC/UPC OM4 1.5M</t>
  </si>
  <si>
    <t>סט פיגטייל אופטי, 12 צבעים SC/UPC OM4 1.5M</t>
  </si>
  <si>
    <t>סט פיגטייל אופטי, 12 צבעים LC/UPC SM 1.5M</t>
  </si>
  <si>
    <t>סט פיגטייל אופטי, 12 צבעים LC/APC SM 1.5M</t>
  </si>
  <si>
    <t>סט פיגטייל אופטי, 12 צבעים SC/UPC SM 1.5M</t>
  </si>
  <si>
    <t>סט פיגטייל אופטי, 12 צבעים SC/APC SM 1.5M</t>
  </si>
  <si>
    <t>סט פיגטייל אופטי, 12 צבעים ST/UPC SM 1.5M</t>
  </si>
  <si>
    <t>סט פיגטייל אופטי, 12 צבעים ST/UPC OM3 1M</t>
  </si>
  <si>
    <t>סט פיגטייל אופטי, 12 צבעים SC/UPC OM4 1M</t>
  </si>
  <si>
    <t>מגש היתוך + מכסה ל-12/24 סיבים אופטיים גדול (קסטה)</t>
  </si>
  <si>
    <t>מגש היתוך + מכסה ל-24 סיבים אופטיים (קסטה)</t>
  </si>
  <si>
    <t>מתאם SC/APC SM סימפלקס נ-נ לפאנל, ירוק</t>
  </si>
  <si>
    <t>מתאם SC/UPC SM דופלקס נ-נ לפאנל, כחול</t>
  </si>
  <si>
    <t>מתאם SC/UPC MM דופלקס נ-נ לפאנל, אפור</t>
  </si>
  <si>
    <t>מתאם SC/UPC OM3 דופלקס נ-נ לפאנל, טורקיז</t>
  </si>
  <si>
    <t>מתאם LC/UPC SM דופלקס נ-נ עם אוזניים לפאנל, כחול</t>
  </si>
  <si>
    <t>מתאם LC/APC SM דופלקס נ-נ עם אוזניים לפאנל, ירוק</t>
  </si>
  <si>
    <t>מתאם LC/UPC MM דופלקס נ-נ עם אוזניים לפאנל, אפור</t>
  </si>
  <si>
    <t>מתאם LC/UPC OM3 דופלקס נ-נ עם אוזניים לפאנל, טורקיז</t>
  </si>
  <si>
    <t>מתאם LC/UPC OM4 דופלקס נ-נ עם אוזניים לפאנל, סגול</t>
  </si>
  <si>
    <t>מתאם LC/UPC MM דופלקס נ-נ ללא אוזניים לפאנל, אפור</t>
  </si>
  <si>
    <t>מתאם LC/UPC OM3 דופלקס נ-נ ללא אוזניים לפאנל, טורקיז</t>
  </si>
  <si>
    <t>מתאם LC/UPC SM קוואד נ-נ לפאנל, כחול</t>
  </si>
  <si>
    <t>מתאם LC/APC SM קוואד נ-נ לפאנל, ירוק</t>
  </si>
  <si>
    <t>מתאם LC/UPC MM קוואד נ-נ לפאנל, אפור</t>
  </si>
  <si>
    <t>מתאם LC/UPC OM3 קוואד נ-נ לפאנל, טורקיז</t>
  </si>
  <si>
    <t>מתאם LC/UPC OM4 קוואד נ-נ לפאנל, סגול</t>
  </si>
  <si>
    <t>מתאם ST/UPC סימפלקס עגול נ-נ לפאנל, מכסה שחור</t>
  </si>
  <si>
    <t>מתאם ST/UPC סימפלקס עגול נ-נ לפאנל, מכסה אדום</t>
  </si>
  <si>
    <t>מתאם ST/UPC דופלקס נ-נ לפאנל</t>
  </si>
  <si>
    <t>מתאם FC/UPC סימפלקס עגול נ-נ לפאנל</t>
  </si>
  <si>
    <t>מתאם FC/UPC סימפלקס ריבוע נ-נ לפאנל, מכסה ירוק</t>
  </si>
  <si>
    <t>מתאם FC/UPC סימפלקס ריבוע נ-נ לפאנל, מכסה אדום</t>
  </si>
  <si>
    <t>טרנסיבר 40G QSFP+ SR4 850nm MM MPO 150M תואם CISCO/MSA</t>
  </si>
  <si>
    <t>טרנסיבר 100G QSFP28 SR4 850nm MM MPO 100M תואם CISCO/MSA</t>
  </si>
  <si>
    <t>טרנסיבר SFP ל-SX 1.25G 850nm MM 550M תעשייתי</t>
  </si>
  <si>
    <t>טרנסיבר SFP ל-SX 1.25G 850nm MM 550M תואם HP/ARUBA</t>
  </si>
  <si>
    <t>טרנסיבר SFP ל-SX 1.25G 850nm MM 550M תעשייתי תואם HP/ARUBA</t>
  </si>
  <si>
    <t>טרנסיבר SFP ל-LX 1.25G 1310nm SM 20KM תואם HP/ARUBA</t>
  </si>
  <si>
    <t>טרנסיבר SFP ל-LX 1.25G 1310nm SM 20KM תעשייתי תואם HP/ARUBA</t>
  </si>
  <si>
    <t>טרנסיבר SFP ל-SX 1.25G 850nm MM 550M תואם CISCO/MSA</t>
  </si>
  <si>
    <t>טרנסיבר SFP ל-SX 1.25G 850nm MM 550M תעשייתי תואם CISCO/MSA</t>
  </si>
  <si>
    <t>טרנסיבר SFP ל-LX 1.25G 1310nm SM 20KM תואם CISCO/MSA</t>
  </si>
  <si>
    <t>טרנסיבר SFP ל-LX 1.25G 1310nm SM 20KM תעשייתי תואם CISCO/MSA</t>
  </si>
  <si>
    <t>טרנסיבר SFP ל-10/100/1000 RJ45 ל-100 מטר תואם HP/ARUBA</t>
  </si>
  <si>
    <t>טרנסיבר SFP ל-10/100/1000 RJ45 ל-100 מטר תואם CISCO/MSA</t>
  </si>
  <si>
    <t>טרנסיבר +SFP ל-LR 10G 1310nm SM 20KM תעשייתי</t>
  </si>
  <si>
    <t>טרנסיבר +SFP ל-SR 10G 850nm MM 300M תואם HP/ARUBA</t>
  </si>
  <si>
    <t>טרנסיבר +SFP ל-SR 10G 850nm MM 300M תעשייתי תואם HP/ARUBA</t>
  </si>
  <si>
    <t>טרנסיבר +SFP ל-LR 10G 1310nm SM 20KM תואם HP/ARUBA</t>
  </si>
  <si>
    <t>טרנסיבר +SFP ל-LR 10G 1310nm SM 20KM תעשייתי תואם HP/ARUBA</t>
  </si>
  <si>
    <t>טרנסיבר +SFP ל-SR 10G 850nm MM 300M תואם CISCO/MSA</t>
  </si>
  <si>
    <t>טרנסיבר +SFP ל-SR 10G 850nm MM 300M תעשייתי תואם CISCO/MSA</t>
  </si>
  <si>
    <t>טרנסיבר +SFP ל-LR 10G 1310nm SM 20KM תואם CISCO/MSA</t>
  </si>
  <si>
    <t>טרנסיבר +SFP ל-LR 10G 1310nm SM 20KM תעשייתי תואם CISCO/MSA</t>
  </si>
  <si>
    <t>טרנסיבר +SFP ל-10G RJ45 ל-30 מטר תואם HP/ARUBA</t>
  </si>
  <si>
    <t>טרנסיבר +SFP ל-10G RJ45 ל-30 מטר תואם CISCO/MSA</t>
  </si>
  <si>
    <t>טרנסיבר SFP ל-1.25G Tx1310nm/Rx1550nm SM 20KM תואם CISCO/MSA</t>
  </si>
  <si>
    <t>טרנסיבר SFP ל-1.25G Tx1310nm/Rx1550nm SM 20KM תעשיתי CISCO/M</t>
  </si>
  <si>
    <t>טרנסיבר SFP ל-1.25G Tx1550nm/Rx1310nm SM 20KM תואם CISCO/MSA</t>
  </si>
  <si>
    <t>טרנסיבר SFP ל-1.25G Tx1550nm/Rx1310nm SM 20KM תעשיתי CISCO/M</t>
  </si>
  <si>
    <t>טרנסיבר SFP ל-1.25G Tx1310nm/Rx1550nm SM 20KM תואם HP/ARUBA</t>
  </si>
  <si>
    <t>טרנסיבר SFP ל-1.25G Tx1550nm/Rx1310nm SM 20KM תואם HP/ARUBA</t>
  </si>
  <si>
    <t>כבל DAC TWINAX SFP+ 10G באורך 0.5מ תואם CISCO/MSA</t>
  </si>
  <si>
    <t>כבל DAC TWINAX SFP+ 10G באורך 1מ תואם CISCO/MSA</t>
  </si>
  <si>
    <t>כבל DAC TWINAX SFP+ 10G באורך 2מ תואם CISCO/MSA</t>
  </si>
  <si>
    <t>כבל DAC TWINAX SFP+ 10G באורך 3מ תואם CISCO/MSA</t>
  </si>
  <si>
    <t>כבל DAC TWINAX SFP+ 10G באורך 5מ תואם CISCO/MSA</t>
  </si>
  <si>
    <t>כבל DAC TWINAX SFP+ 10G באורך 7מ תואם CISCO/MSA</t>
  </si>
  <si>
    <t>ממיר מדיה RJ45 10/100 ל-SC SM עד 20 ק"מ</t>
  </si>
  <si>
    <t>ממיר מדיה RJ45 10/100 ל-SC MM עד 2 ק"מ</t>
  </si>
  <si>
    <t>ממיר מדיה RJ45 10/100/1000 ל-SC SM עד 20 ק"מ</t>
  </si>
  <si>
    <t>ממיר מדיה RJ45 10/100/1000 ל-SC MM עד 500 מטר</t>
  </si>
  <si>
    <t>זוג משדר+מקלט</t>
  </si>
  <si>
    <t>זוג ממירי מדיה RJ45 10/100/1000 ל-SC SM, סיב בודד WDM 20KM</t>
  </si>
  <si>
    <t>ממיר מדיה RJ45 10/100/1000 ל-SFP SLOT לא כולל SFP</t>
  </si>
  <si>
    <t>ממיר מדיה RJ45 10G ל-SFP+ SLOT לא כולל SFP</t>
  </si>
  <si>
    <t>סט עיניות IR עם אפשרות להרחבה + ספק 12V</t>
  </si>
  <si>
    <t>סט עיניות IR עם אפשרות להרחבה + ספק 5V</t>
  </si>
  <si>
    <t>סט עיניות IR עם עינית מיני + ספק 5V</t>
  </si>
  <si>
    <t>עינית שידור בודדת ל-IR-EXTEND4/8</t>
  </si>
  <si>
    <t>עינית שידור כפולה ל-IR-EXTEND4/8</t>
  </si>
  <si>
    <t>עינית קליטה ספייר ל-IR-EXTEND4, אורך 3מ'</t>
  </si>
  <si>
    <t>עינית קליטה ספייר ל-IR-EXTEND8, אורך 3מ'</t>
  </si>
  <si>
    <t>כבל PL 3.5 **מונו** זכר-זכר, 1 מטר</t>
  </si>
  <si>
    <t>מאריך עינית IR כפולה + ספק כוח</t>
  </si>
  <si>
    <t>מאריך עינית IR כפולה, מתח משקע USB</t>
  </si>
  <si>
    <t>מאריך עינית על כבל שטוח + סוללה</t>
  </si>
  <si>
    <t>מעביר IR על גבי כבל HDMI דגם חדש משודרג</t>
  </si>
  <si>
    <t>קיט הפעלה/כיבוי למקרן 2 פקודות, להתקנה ליד קופסת חיבורים</t>
  </si>
  <si>
    <t>קיט הפעלה/כיבוי למקרן 2 פקודות, להתקנה ליד מקרן</t>
  </si>
  <si>
    <t>ספק כוח עם כבל MICRO USB מובנה ל-IREX50-KIT</t>
  </si>
  <si>
    <t>בית בטריות ל-IREX50-KIT ללא 3 בטריות AA</t>
  </si>
  <si>
    <t>עינית שידור IR עם כבל 12 מטר ספייר ל-IREX50-KIT</t>
  </si>
  <si>
    <t>מפצל מוגבר HDMI ל-4 יציאות תומך 4K@30HZ HDCP1.4</t>
  </si>
  <si>
    <t>מפצל מוגבר HDMI ל-8 יציאות תומך 4K@30HZ HDCP1.4 אקונומי</t>
  </si>
  <si>
    <t>ממתג HDMI1.4 ידני דו-כיווני 2:1</t>
  </si>
  <si>
    <t>קופסת מיתוג HDMI אוטומטית + שלט 3:1</t>
  </si>
  <si>
    <t>ממתג HDMI אוטומטי + שלט 3:1 + מאריך IR</t>
  </si>
  <si>
    <t>ממתג HDMI אוטומטי + שלט 3:1, אקונומי</t>
  </si>
  <si>
    <t>מטריצה HDMI2.0 4 IN 2 OUT + שלט V2.0</t>
  </si>
  <si>
    <t>מגבר HDMI אקטיבי 4K@30HZ עד 40 מטר</t>
  </si>
  <si>
    <t>מרחיק HDMI+IR+POC על כבל רשת עד 50מ + יציאה מקומית</t>
  </si>
  <si>
    <t>מרחיק HDMI בכבל רשת TCP/IP ל-120 מטר</t>
  </si>
  <si>
    <t>מקלט בלבד לשימוש עם HDEX06</t>
  </si>
  <si>
    <t>מרחיק HDMI 4K בכבל אופטי OM3 DX LC 300M</t>
  </si>
  <si>
    <t>כבל MINI HDMI TO VGA+AUDIO</t>
  </si>
  <si>
    <t>כבל MICRO HDMI TO VGA+AUDIO</t>
  </si>
  <si>
    <t>ממיר מ-HDMI ל-HDMI + אודיו (מחלץ אודיו), מתח USB</t>
  </si>
  <si>
    <t>ממיר HDMI2.0 ל-HDMI2.0 + אודיו, 4K@60Hz 4:4:4 HDCP2.2</t>
  </si>
  <si>
    <t>מיני-ממיר HDMI--&gt; 3xRCA, מתח USB</t>
  </si>
  <si>
    <t>מיני-ממיר 3xRCA--&gt; HDMI, מתח USB</t>
  </si>
  <si>
    <t>ממיר HDMI TO AV 3xRCA + SVIDEO מארז מתכת, איכותי</t>
  </si>
  <si>
    <t>ממיר 3xRCA+ SVIDEO TO HDMI, תומך 1080P</t>
  </si>
  <si>
    <t>ממיר HDCP2.2 ל-HDCP1.4</t>
  </si>
  <si>
    <t>ממיר קוואד מ-4 כניסות HDMI ליציאה מפוצלת אחת 1080P</t>
  </si>
  <si>
    <t>ממיר קוואד מ-4 כניסות HDMI ליציאה מפוצלת אחת 4K@30HZ</t>
  </si>
  <si>
    <t>ממיר AHD/TVI/CVI TO HDMI עם ספק כוח</t>
  </si>
  <si>
    <t>מפצל VGA מוגבר 2 מסכים 250MHz + ספק כוח</t>
  </si>
  <si>
    <t>מפצל VGA מוגבר 2 מסכים 250MHz, מתח מ-USB</t>
  </si>
  <si>
    <t>מפצל VGA מוגבר 4 מסכים 250MHz + ספק כוח</t>
  </si>
  <si>
    <t>מפצל VGA מוגבר 4 מסכים 350MHz + ספק כוח</t>
  </si>
  <si>
    <t>מפצל VGA מוגבר 8 מסכים 350MHz + ספק כוח</t>
  </si>
  <si>
    <t>ממתג VGA מכני דו-כיווני 2:1</t>
  </si>
  <si>
    <t>ממתג VGA מכני דו-כיווני 4:1</t>
  </si>
  <si>
    <t>ממתג VGA פריוריטי 2 מחשבים למסך אחד</t>
  </si>
  <si>
    <t>מרחיק VGA+AUDIO על כבל רשת עד 300 מטר</t>
  </si>
  <si>
    <t>משדר+מקלט פסיביים ל-VGA על RJ45 עד 30 מ'</t>
  </si>
  <si>
    <t>מפצל DVI מוגבר ל-2 מסכים בו-זמנית</t>
  </si>
  <si>
    <t>מפצל DVI מוגבר ל-4 מסכים בו-זמנית</t>
  </si>
  <si>
    <t>מפצל DVI +אודיו מוגבר ל-8 מסכים בו-זמנית</t>
  </si>
  <si>
    <t>מפצל מוגבר 3xRCA AV ל-4 יציאות + ספק כוח</t>
  </si>
  <si>
    <t>מפצל מוגבר 3xRCA AV ל-8 יציאות + ספק כוח</t>
  </si>
  <si>
    <t>סט בלון פסיבי להרחקת וידאו BNC עד 300 מטר</t>
  </si>
  <si>
    <t>מתג מתכתי KVM 2:1 VGA+USB עם כבלים</t>
  </si>
  <si>
    <t>מתג מתכתי KVM 4:1 VGA+USB עם כבלים</t>
  </si>
  <si>
    <t>מתג KVM 2:1 אוטומטי HDMI 4K + USB + ספק + כבלים</t>
  </si>
  <si>
    <t>מתג KVM 2:1 אוטומטי HDMI 4K + USB2.0 + ספק + כבלים</t>
  </si>
  <si>
    <t>מתג KVM 4:1 אוטומטי HDMI 4K + USB + ספק + כבלים</t>
  </si>
  <si>
    <t>מתג DH KVM 2:1 אוטומטי 2xHDMI 4K + USB + ספק + כבלים</t>
  </si>
  <si>
    <t>מתג שיתוף USB2.0 אוטומטי ל-2 מחשבים</t>
  </si>
  <si>
    <t>מתג שיתוף USB2.0 אוטומטי ל-4 מחשבים</t>
  </si>
  <si>
    <t>מתג שיתוף USB3.0 אוטומטי ל-2 מחשבים</t>
  </si>
  <si>
    <t>מרחיק KVM HDMI+USB על CAT6 עד 50מ ללא כיווץ + POC + LOOPOUT</t>
  </si>
  <si>
    <t>מרחיק KVM HDMI+USB על CAT6 TCP/IP עד 150 מטר</t>
  </si>
  <si>
    <t>מרחיק KVM HDMI+USB+IR על CAT6 עד 60 מטר 4K@60HZ</t>
  </si>
  <si>
    <t>מרחיק USB1.1 על כבל רשת, עד 50 מטר</t>
  </si>
  <si>
    <t>מרחיק USB 2.0 עד 50 מטר + ספק כוח</t>
  </si>
  <si>
    <t>מרחיק USB 2.0 ל-4 חיבורים עד 60 מטר + ספק כוח</t>
  </si>
  <si>
    <t>מרחיק USB 2.0 על סיב אופטי SM ל-4 חיבורים עד 6 ק"מ</t>
  </si>
  <si>
    <t>USB 3.0 COMPATIBLE / USB C EXTENDER 100M</t>
  </si>
  <si>
    <t>ממתג USB2.0 מכני דו-כיווני 2:1</t>
  </si>
  <si>
    <t>ממתג USB2.0 מכני דו-כיווני 4:1</t>
  </si>
  <si>
    <t>ממתג RJ45 מכני דו-כיווני 2:1</t>
  </si>
  <si>
    <t>ממתג RJ45 מכני דו-כיווני 4:1</t>
  </si>
  <si>
    <t>מטר</t>
  </si>
  <si>
    <t>כבל RG59 מקצועי ל-HD-SDI, בתוף 200 מטר</t>
  </si>
  <si>
    <t>תקע BNC מקצועי ל-RG59, חיבור בלחיצה (מתאים ל-SDI)</t>
  </si>
  <si>
    <t>כיסוי גומי (בוט) שחור למחבר BNC לכבל SDI</t>
  </si>
  <si>
    <t>כבל SDI מקצועי עם מחברי BNC באורך 0.5מ</t>
  </si>
  <si>
    <t>כבל SDI מקצועי עם מחברי BNC באורך 1מ</t>
  </si>
  <si>
    <t>כבל SDI מקצועי עם מחברי BNC באורך 2מ</t>
  </si>
  <si>
    <t>כבל SDI מקצועי עם מחברי BNC באורך 3מ</t>
  </si>
  <si>
    <t>כבל SDI מקצועי עם מחברי BNC באורך 5מ</t>
  </si>
  <si>
    <t>כבל SDI מקצועי עם מחברי BNC באורך 10מ</t>
  </si>
  <si>
    <t>כבל SDI מקצועי עם מחברי BNC באורך 15מ</t>
  </si>
  <si>
    <t>כבל SDI מקצועי עם מחברי BNC באורך 20מ</t>
  </si>
  <si>
    <t>כבל SDI מקצועי עם מחברי BNC באורך 33מ</t>
  </si>
  <si>
    <t>כבל SDI מקצועי עם מחברי BNC באורך 50מ</t>
  </si>
  <si>
    <t>כבל SDI מקצועי עם מחברי BNC באורך 66מ</t>
  </si>
  <si>
    <t>כבל SDI מקצועי עם מחברי BNC באורך 100מ</t>
  </si>
  <si>
    <t>כבל HDMI2.0 מוזהב באורך 0.25 מטר 30AWG 4K@60HZ</t>
  </si>
  <si>
    <t>כבל HDMI2.0 מוזהב באורך 0.5 מטר 30AWG 4K@60HZ</t>
  </si>
  <si>
    <t>כבל HDMI2.0 מוזהב באורך 0.5 מטר 28AWG 4K@60HZ</t>
  </si>
  <si>
    <t>כבל HDMI2.0 מוזהב באורך 0.5 מטר 26AWG 4K@60HZ</t>
  </si>
  <si>
    <t>כבל HDMI2.0 מוזהב באורך 1 מטר 30AWG 4K@60HZ</t>
  </si>
  <si>
    <t>כבל HDMI2.0 מוזהב באורך 1 מטר 28AWG 4K@60HZ</t>
  </si>
  <si>
    <t>כבל HDMI2.0 מוזהב באורך 1 מטר 26AWG 4K@60HZ</t>
  </si>
  <si>
    <t>כבל HDMI2.0 מוזהב באורך 1.5 מטר 30AWG 4K@60HZ</t>
  </si>
  <si>
    <t>כבל HDMI2.0 מוזהב באורך 1.5 מטר 28AWG 4K@60HZ</t>
  </si>
  <si>
    <t>כבל HDMI2.0 מוזהב באורך 1.5 מטר 26AWG 4K@60HZ</t>
  </si>
  <si>
    <t>כבל HDMI2.0 מוזהב באורך 2 מטר 4K@60HZ אקונומי</t>
  </si>
  <si>
    <t>כבל HDMI2.0 מוזהב באורך 3 מטר 4K@60HZ אקונומי</t>
  </si>
  <si>
    <t>כבל HDMI2.0 מוזהב באורך 2 מטר 30AWG 4K@60HZ</t>
  </si>
  <si>
    <t>כבל HDMI2.0 מוזהב באורך 2 מטר 28AWG 4K@60HZ</t>
  </si>
  <si>
    <t>כבל HDMI2.0 מוזהב באורך 2 מטר 26AWG 4K@60HZ</t>
  </si>
  <si>
    <t>כבל HDMI2.0 מוזהב באורך 3 מטר 30AWG 4K@60HZ</t>
  </si>
  <si>
    <t>כבל HDMI2.0 מוזהב באורך 3 מטר 28AWG 4K@60HZ</t>
  </si>
  <si>
    <t>כבל HDMI2.0 מוזהב באורך 3 מטר 26AWG 4K@60HZ</t>
  </si>
  <si>
    <t>כבל HDMI2.0 מוזהב באורך 5 מטר 28AWG 4K@60HZ</t>
  </si>
  <si>
    <t>כבל HDMI2.0 מוזהב באורך 5 מטר 24AWG 4K@60HZ</t>
  </si>
  <si>
    <t>כבל HDMI2.0 מוזהב באורך 7.5 מטר 26AWG 4K@60HZ</t>
  </si>
  <si>
    <t>כבל HDMI2.0 מוזהב באורך 7.5 מטר 24AWG 4K@60HZ</t>
  </si>
  <si>
    <t>כבל HDMI2.0 מוזהב באורך 10 מטר 26AWG 4K@60HZ</t>
  </si>
  <si>
    <t>כבל HDMI2.0 מוזהב באורך 10 מטר 24AWG 4K@60HZ</t>
  </si>
  <si>
    <t>כבל HDMI2.0 מוזהב באורך 12 מטר 24AWG 4K@60HZ</t>
  </si>
  <si>
    <t>כבל HDMI2.0 מוזהב באורך 15 מטר 24AWG</t>
  </si>
  <si>
    <t>כבל HDMI2.0 מוזהב באורך 20 מטר 24AWG</t>
  </si>
  <si>
    <t>כבל HDMI2.1 מוזהב 8K@60HZ באורך 0.5מ</t>
  </si>
  <si>
    <t>כבל HDMI2.1 מוזהב 8K@60HZ באורך 1מ</t>
  </si>
  <si>
    <t>כבל HDMI2.1 מוזהב 8K@60HZ באורך 2מ</t>
  </si>
  <si>
    <t>כבל HDMI2.1 מוזהב 8K@60HZ באורך 3מ</t>
  </si>
  <si>
    <t>כבל HDMI2.1 מוזהב ראשי מתכת 8K@60HZ באורך 0.5מ</t>
  </si>
  <si>
    <t>כבל HDMI2.1 מוזהב ראשי מתכת 8K@60HZ באורך 1מ</t>
  </si>
  <si>
    <t>כבל HDMI2.1 מוזהב ראשי מתכת 8K@60HZ באורך 1.5מ</t>
  </si>
  <si>
    <t>כבל HDMI2.1 מוזהב ראשי מתכת 8K@60HZ באורך 2מ</t>
  </si>
  <si>
    <t>כבל HDMI2.1 מוזהב ראשי מתכת 8K@60HZ באורך 3מ</t>
  </si>
  <si>
    <t>כבל HDMI2.0 מקצועי TopX באורך 0.5מ 28AWG 4K@60HZ</t>
  </si>
  <si>
    <t>כבל HDMI2.0 מקצועי TopX באורך 1מ 30AWG 4K@60HZ</t>
  </si>
  <si>
    <t>כבל HDMI2.0 מקצועי TopX באורך 1מ 28AWG 4K@60HZ</t>
  </si>
  <si>
    <t>כבל HDMI2.0 מקצועי TopX באורך 1.5מ 28AWG 4K@60HZ</t>
  </si>
  <si>
    <t>כבל HDMI2.0 מקצועי TopX באורך 2מ 28AWG 4K@60HZ</t>
  </si>
  <si>
    <t>כבל HDMI2.0 מקצועי TopX באורך 3מ 28AWG 4K@60HZ</t>
  </si>
  <si>
    <t>כבל HDMI2.0 מקצועי TopX באורך 5מ 28AWG 4K@60HZ</t>
  </si>
  <si>
    <t>כבל HDMI2.0 מקצועי TopX באורך 5מ 26AWG 4K@60HZ</t>
  </si>
  <si>
    <t>כבל HDMI2.0 מקצועי TopX באורך 7.5מ 26AWG 4K@60HZ</t>
  </si>
  <si>
    <t>כבל HDMI2.0 מקצועי TopX באורך 10מ 26AWG 4K@60HZ</t>
  </si>
  <si>
    <t>כבל HDMI2.0 מקצועי TopX באורך 10מ 24AWG 4K@60HZ</t>
  </si>
  <si>
    <t>כבל HDMI2.0 מקצועי TopX באורך 12מ 24AWG 4K@60HZ</t>
  </si>
  <si>
    <t>כבל HDMI2.0 מקצועי TopX באורך 15מ 24AWG</t>
  </si>
  <si>
    <t>כבל HDMI2.0 מקצועי TopX באורך 20מ 24AWG</t>
  </si>
  <si>
    <t>כבל HDMI1.4 בבליסטר TopX באורך 0.5 מטר</t>
  </si>
  <si>
    <t>כבל HDMI2.0 בבליסטר TopX באורך 1 מטר</t>
  </si>
  <si>
    <t>כבל HDMI2.0 בבליסטר TopX באורך 2 מטר</t>
  </si>
  <si>
    <t>כבל HDMI2.0 בבליסטר TopX באורך 3 מטר</t>
  </si>
  <si>
    <t>כבל HDMI2.0 בבליסטר TopX באורך 5 מטר</t>
  </si>
  <si>
    <t>כבל HDMI2.0 בבליסטר TopX באורך 10 מטר</t>
  </si>
  <si>
    <t>כבל HDMI2.0 בבליסטר TopX באורך 15 מטר</t>
  </si>
  <si>
    <t>כבל HDMI1.4 מוזהב אורך 0.5 מטר, אקונומי</t>
  </si>
  <si>
    <t>כבל HDMI1.4 מוזהב אורך 1 מטר, אקונומי</t>
  </si>
  <si>
    <t>כבל HDMI1.4 מוזהב אורך 1.5 מטר, אקונומי</t>
  </si>
  <si>
    <t>כבל HDMI1.4 מוזהב אורך 2 מטר, אקונומי</t>
  </si>
  <si>
    <t>כבל HDMI1.4 מוזהב אורך 3 מטר, אקונומי</t>
  </si>
  <si>
    <t>כבל HDMI1.4 מוזהב אורך 5 מטר, אקונומי</t>
  </si>
  <si>
    <t>כבל HDMI1.4 מוזהב אורך 7.5 מטר, אקונומי</t>
  </si>
  <si>
    <t>כבל HDMI1.4 מוזהב אורך 10 מטר, אקונומי</t>
  </si>
  <si>
    <t>כבל HDMI1.4 מוזהב אורך 15 מטר, אקונומי</t>
  </si>
  <si>
    <t>כבל HDMI מוזהב אורך 20מ' 1080P אקונומי</t>
  </si>
  <si>
    <t>כבל HDMI2.0 מוזהב לבן באורך 2 מטר</t>
  </si>
  <si>
    <t>כבל HDMI2.0 מוזהב לבן באורך 3 מטר</t>
  </si>
  <si>
    <t>כבל HDMI2.0 מוזהב לבן באורך 5 מטר</t>
  </si>
  <si>
    <t>כבל HDMI2.0 מוזהב לבן באורך 7.5 מטר</t>
  </si>
  <si>
    <t>כבל HDMI2.0 מוזהב לבן באורך 10 מטר</t>
  </si>
  <si>
    <t>כבל HDMI2.0 מוזהב לבן באורך 15 מטר 24AWG</t>
  </si>
  <si>
    <t>כבל HDMI2.0 מוזהב, צד אחד 90 מעלות, 1.5מ</t>
  </si>
  <si>
    <t>כבל HDMI2.0 מוזהב, צד אחד 90 מעלות, 3מ</t>
  </si>
  <si>
    <t>כבל HDMI2.0 מוזהב, צד אחד 90 מעלות, 5מ</t>
  </si>
  <si>
    <t>כבל HDMI מאריך זכר-נקבה 0.2 מטר</t>
  </si>
  <si>
    <t>כבל HDMI מאריך זכר-נקבה 0.5 מטר</t>
  </si>
  <si>
    <t>כבל HDMI מאריך זכר-נקבה 1 מטר</t>
  </si>
  <si>
    <t>כבל HDMI מאריך זכר-נקבה 2 מטר</t>
  </si>
  <si>
    <t>כבל HDMI מאריך זכר-נקבה 3 מטר</t>
  </si>
  <si>
    <t>כבל HDMI מאריך זכר-נקבה 5 מטר</t>
  </si>
  <si>
    <t>כבל HDMI ז-נ לפנל + ברגים, 0.5 מטר</t>
  </si>
  <si>
    <t>כבל HDMI נ-נ לפנל + ברגים, 0.2 מטר</t>
  </si>
  <si>
    <t>כבלי HDMI AOC מבוססים סיב אופטי</t>
  </si>
  <si>
    <t>מתאם ספייר לסידרת CABLE-592</t>
  </si>
  <si>
    <t>כבל HDMI1.4 24AWG בתופים של 100מ</t>
  </si>
  <si>
    <t>כבל HDMI1.4 26AWG בתופים של 100מ</t>
  </si>
  <si>
    <t>כבל HDMI1.4 להשחלה 5 מטר (צד אחד מורכב)</t>
  </si>
  <si>
    <t>כבל HDMI1.4 להשחלה 15 מטר (צד אחד מורכב) 26AWG</t>
  </si>
  <si>
    <t>מקבע לחיצה ספייר לשימוש עם DIY-TOOL1</t>
  </si>
  <si>
    <t>כבל HDMI - DVI מוזהב באורך 0.5 מטר</t>
  </si>
  <si>
    <t>כבל HDMI - DVI מוזהב באורך 1 מטר</t>
  </si>
  <si>
    <t>כבל HDMI - DVI מוזהב באורך 1.8 מטר</t>
  </si>
  <si>
    <t>כבל HDMI - DVI מוזהב באורך 3 מטר</t>
  </si>
  <si>
    <t>כבל HDMI - DVI מוזהב באורך 5 מטר</t>
  </si>
  <si>
    <t>כבל HDMI - DVI מוזהב באורך 7.5 מטר</t>
  </si>
  <si>
    <t>כבל HDMI - DVI מוזהב באורך 10 מטר</t>
  </si>
  <si>
    <t>כבל HDMI - DVI מוזהב באורך 15 מטר 24AWG</t>
  </si>
  <si>
    <t>כבל HDMI - DVI מוזהב 1.8 מטר, אקונומי</t>
  </si>
  <si>
    <t>כבל HDMI - DVI מוזהב 3 מטר, אקונומי</t>
  </si>
  <si>
    <t>כבל HDMI - DVI מקצועי 24AWG באורך 1.8מ</t>
  </si>
  <si>
    <t>כבל HDMI - DVI מקצועי 24AWG באורך 3מ</t>
  </si>
  <si>
    <t>כבל DVI זכר - HDMI נקבה, 0.15 מטר</t>
  </si>
  <si>
    <t>כבל DVI נקבה - HDMI זכר, 0.15 מטר</t>
  </si>
  <si>
    <t>כבלים מיני HDMI TYPE C</t>
  </si>
  <si>
    <t>כבל HDMI - MINI HDMI גרסא 2.0, אורך 1מ</t>
  </si>
  <si>
    <t>כבל HDMI - MINI HDMI גרסא 2.0, אורך 1.8מ</t>
  </si>
  <si>
    <t>כבל HDMI - MINI HDMI גרסא 2.0, אורך 3מ</t>
  </si>
  <si>
    <t>כבל HDMI - MINI HDMI גרסא 1.4, אורך 5מ</t>
  </si>
  <si>
    <t>כבל HDMI - MINI HDMI גרסא 1.4, אורך 10מ</t>
  </si>
  <si>
    <t>כבל HDMI - MINI HDMI אורך 1.8מ, אקונומי</t>
  </si>
  <si>
    <t>כבל HDMI - MINI HDMI ראשי מתכת אורך 0.5מ</t>
  </si>
  <si>
    <t>כבל HDMI - MINI HDMI ראשי מתכת אורך 1מ</t>
  </si>
  <si>
    <t>כבל HDMI - MINI HDMI ראשי מתכת אורך 2מ</t>
  </si>
  <si>
    <t>כבל דק HDMI - MINI HDMI עובי 4.2 מ"מ 0.5מ'</t>
  </si>
  <si>
    <t>כבל דק HDMI - MINI HDMI עובי 4.2 מ"מ 1מ'</t>
  </si>
  <si>
    <t>כבל דק HDMI - MINI HDMI עובי 4.2 מ"מ 2מ'</t>
  </si>
  <si>
    <t>כבל MINI HDMI זכר - DVI זכר, 0.5 מטר</t>
  </si>
  <si>
    <t>כבל MINI HDMI זכר - DVI זכר, 1 מטר</t>
  </si>
  <si>
    <t>כבל MINI HDMI זכר - DVI זכר, 1.8 מטר</t>
  </si>
  <si>
    <t>כבל MINI HDMI זכר - DVI זכר, 3 מטר</t>
  </si>
  <si>
    <t>כבל MINI HDMI זכר - HDMI נקבה אורך 0.15מ</t>
  </si>
  <si>
    <t>כבל MINI HDMI זכר - DVI נקבה, 0.15 מטר</t>
  </si>
  <si>
    <t>כבל MINI HDMI זכר - זכר, 1 מטר</t>
  </si>
  <si>
    <t>כבל HDMI - MICRO HDMI V2.0 באורך 1 מטר</t>
  </si>
  <si>
    <t>כבל HDMI - MICRO HDMI V2.0 באורך 1.8 מ</t>
  </si>
  <si>
    <t>כבל HDMI - MICRO HDMI V2.0 באורך 3 מטר</t>
  </si>
  <si>
    <t>כבל HDMI - MICRO HDMI V1.4 באורך 5 מטר</t>
  </si>
  <si>
    <t>כבל HDMI - MICRO HDMI V1.4 באורך 10 מטר</t>
  </si>
  <si>
    <t>כבל HDMI- MICRO HDMI אורך 1.8מ, אקונומי</t>
  </si>
  <si>
    <t>כבל HDMI -MICRO HDMI ראשי מתכת אורך 0.5מ</t>
  </si>
  <si>
    <t>כבל HDMI - MICRO HDMI ראשי מתכת אורך 1מ</t>
  </si>
  <si>
    <t>כבל HDMI - MICRO HDMI ראשי מתכת אורך 2מ</t>
  </si>
  <si>
    <t>כבל דק HDMI - MICRO HDMI עובי 4.2 מ"מ 0.5מ'</t>
  </si>
  <si>
    <t>כבל דק HDMI - MICRO HDMI עובי 4.2 מ"מ 1מ</t>
  </si>
  <si>
    <t>כבל דק HDMI - MICRO HDMI עובי 4.2 מ"מ 2מ</t>
  </si>
  <si>
    <t>כבל MICRO HDMI זכר - DVI זכר, 1.8 מטר</t>
  </si>
  <si>
    <t>כבל MICRO HDMI זכר- HDMI נקבה אורך 0.15מ</t>
  </si>
  <si>
    <t>כבל MICRO HDMI זכר - DVI נקבה, 0.15 מטר</t>
  </si>
  <si>
    <t>כבל MICRO HDMI זכר - זכר, 1 מטר</t>
  </si>
  <si>
    <t>כבל  24+1 DVI מוזהב מסוכך + פריטים 0.5 מ</t>
  </si>
  <si>
    <t>כבל  24+1 DVI מוזהב מסוכך + פריטים 1 מ</t>
  </si>
  <si>
    <t>כבל 24+1 DVI מוזהב מסוכך + פריטים 1.8 מ</t>
  </si>
  <si>
    <t>כבל  24+1 DVI מוזהב מסוכך + פריטים 3 מ</t>
  </si>
  <si>
    <t>כבל  24+1 DVI מוזהב מסוכך + פריטים 5 מ</t>
  </si>
  <si>
    <t>כבל 24+1 DVI מוזהב מסוכך + פריטים 7.5 מ</t>
  </si>
  <si>
    <t>כבל  24+1 DVI מוזהב מסוכך + פריטים 10 מ</t>
  </si>
  <si>
    <t>כבל 24+1 DVI מוזהב מסוכך + פריטים 15 מ</t>
  </si>
  <si>
    <t>כבל DVI מוזהב מסוכך +פריטים 1.8מ אקונומי</t>
  </si>
  <si>
    <t>כבל  DVI מוזהב מסוכך +פריטים 3מ, אקונומי</t>
  </si>
  <si>
    <t>כבל  DVI מוזהב מסוכך +פריטים 5מ, אקונומי</t>
  </si>
  <si>
    <t>כבל DVI 18+1 מסוכך + פריטים 1.8 מ (סטוק)</t>
  </si>
  <si>
    <t>כבל 24+1 DVI מקצועי 26AWG באורך 1.8 מ</t>
  </si>
  <si>
    <t>כבל 24+1 DVI מקצועי 26AWG באורך 3 מ</t>
  </si>
  <si>
    <t>כבל 24+1 DVI מאריך זכר-נקבה 1.8 מ</t>
  </si>
  <si>
    <t>כבל 24+1 DVI מאריך זכר-נקבה 3 מ</t>
  </si>
  <si>
    <t>כבל VGA - DVI סיכוך כפול + פריטים באורך 1.8מ</t>
  </si>
  <si>
    <t>כבל VGA מסוכך דק גמיש, ז-ז, 1.8 מטר</t>
  </si>
  <si>
    <t>כבל VGA מסוכך דק גמיש, ז-ז, 3 מטר</t>
  </si>
  <si>
    <t>כבל VGA מסוכך + פריטים, ז-ז,  0.5 מטר</t>
  </si>
  <si>
    <t>כבל VGA מסוכך + פריטים, ז-ז, 1 מטר</t>
  </si>
  <si>
    <t>כבל VGA מסוכך + פריטים, ז-ז, 1.8 מטר</t>
  </si>
  <si>
    <t>כבל VGA מסוכך + פריטים, ז-ז, 3 מטר</t>
  </si>
  <si>
    <t>כבל VGA מסוכך + פריטים, ז-ז, 5 מטר</t>
  </si>
  <si>
    <t>כבל VGA מסוכך + פריטים, ז-ז,  7.5 מטר</t>
  </si>
  <si>
    <t>כבל VGA מסוכך + פריטים, ז-ז, 10 מטר</t>
  </si>
  <si>
    <t>כבל VGA מסוכך + פריטים, ז-ז, 15 מטר</t>
  </si>
  <si>
    <t>כבל VGA מסוכך + פריטים, ז-ז, 20 מטר</t>
  </si>
  <si>
    <t>כבל VGA מסוכך + פריטים, ז-נ,  0.5 מטר</t>
  </si>
  <si>
    <t>כבל VGA מסוכך + פריטים, ז-נ,  1.8 מטר</t>
  </si>
  <si>
    <t>כבל VGA מסוכך + פריטים, ז-נ,  20 מטר</t>
  </si>
  <si>
    <t>כבל מפצל VGA זכר - 2xVGA נקבה איכותי</t>
  </si>
  <si>
    <t>כבל מפצל VGA זכר- 2xVGA נקבה</t>
  </si>
  <si>
    <t>כבל מפצל DVI-D זכר - 2xDVI-D נקבה, מוזהב</t>
  </si>
  <si>
    <t>כבל מפצל HDMI זכר - 2xHDMI נקבה, מוזהב</t>
  </si>
  <si>
    <t>כבל מפצל DVI זכר - 2xVGA נקבה, 0.2 מטר</t>
  </si>
  <si>
    <t>כבל DISPLAYPORT ז-ז באורך 1מ' 4K@60HZ</t>
  </si>
  <si>
    <t>כבל DISPLAYPORT ז-ז באורך 1.8מ' 4K@60HZ</t>
  </si>
  <si>
    <t>כבל DISPLAYPORT ז-ז באורך 3 מטר 4K@60HZ</t>
  </si>
  <si>
    <t>כבל DISPLAYPORT ז-ז באורך 5 מטר 4K@60HZ</t>
  </si>
  <si>
    <t>כבל DISPLAYPORT 1.4 ז-ז באורך 1.8מ' 8K@60HZ</t>
  </si>
  <si>
    <t>כבל DISPLAYPORT 1.4 ז-ז באורך 3מ' 8K@60HZ</t>
  </si>
  <si>
    <t>כבל DISPLAYPORT 1.4 ז-ז באורך 5מ' 8K@60HZ</t>
  </si>
  <si>
    <t>כבל DISPLAYPORT 1.4 AOC באורך 10מ' 8K@60HZ</t>
  </si>
  <si>
    <t>כבל DISPLAYPORT 1.4 AOC באורך 15מ' 8K@60HZ</t>
  </si>
  <si>
    <t>כבל DISPLAYPORT 1.4 AOC באורך 20מ' 8K@60HZ</t>
  </si>
  <si>
    <t>כבל DISPLAYPORT 1.4 AOC באורך 30מ' 8K@60HZ</t>
  </si>
  <si>
    <t>כבל DISPLAYPORT 1.4 AOC באורך 50מ' 8K@60HZ</t>
  </si>
  <si>
    <t>כבל DP זכר - HDMI זכר 0.5מ'  4K@30HZ</t>
  </si>
  <si>
    <t>כבל DP זכר - HDMI זכר 1מ'  4K@30HZ</t>
  </si>
  <si>
    <t>כבל DP זכר - HDMI זכר 1.8מ' 4K@30HZ</t>
  </si>
  <si>
    <t>כבל DP זכר - HDMI זכר 3מ' 4K@30HZ</t>
  </si>
  <si>
    <t>כבל DP זכר - HDMI זכר 5מ' 4K@30HZ</t>
  </si>
  <si>
    <t>כבל DP זכר - HDMI זכר 10 מטר 4K@30HZ</t>
  </si>
  <si>
    <t>כבל DP זכר - HDMI זכר 15 מטר 4K@30HZ</t>
  </si>
  <si>
    <t>כבל DP זכר - HDMI זכר 1.8מ' 4K@30HZ איכותי</t>
  </si>
  <si>
    <t>כבל DP זכר - HDMI זכר 3מ' 4K@30HZ איכותי</t>
  </si>
  <si>
    <t>כבל DP זכר - DVI זכר 0.5מ'  4K@30HZ</t>
  </si>
  <si>
    <t>כבל DP זכר - DVI זכר 1מ'  4K@30HZ</t>
  </si>
  <si>
    <t>כבל DP זכר - DVI זכר 1.8מ' 4K@30HZ</t>
  </si>
  <si>
    <t>כבל DP זכר - DVI זכר 3 מ' 4K@30HZ</t>
  </si>
  <si>
    <t>כבל DP זכר - DVI זכר 15 מטר</t>
  </si>
  <si>
    <t>כבל DP זכר - DVI זכר 1.8 מטר, 1080P</t>
  </si>
  <si>
    <t>כבל DP זכר - DVI זכר 3 מטר, 1080P</t>
  </si>
  <si>
    <t>כבל DP זכר - DVI זכר 5 מטר, 1080P</t>
  </si>
  <si>
    <t>כבל DP זכר - VGA זכר 1.8 מטר</t>
  </si>
  <si>
    <t>כבל DP זכר - VGA זכר 1.8 מטר, אקונומי</t>
  </si>
  <si>
    <t>מתאם DP זכר- HDMI נקבה (ללא כבל)</t>
  </si>
  <si>
    <t>כבל מתאם DP זכר - HDMI נקבה 0.2 מטר, אקונומי</t>
  </si>
  <si>
    <t>כבל מתאם DP זכר - HDMI נקבה 0.2 מטר, איכותי</t>
  </si>
  <si>
    <t>מתאם DP זכר- DVI נקבה (ללא כבל)</t>
  </si>
  <si>
    <t>כבל DP זכר - DVI נקבה 0.2 מטר, 1080P</t>
  </si>
  <si>
    <t>כבל מתאם DP זכר - DVI נקבה 0.2 מטר איכותי</t>
  </si>
  <si>
    <t>כבל DP זכר - VGA נקבה 0.2 מטר, אקונומי</t>
  </si>
  <si>
    <t>כבל מתאם DP זכר - VGA נקבה 0.2 מטר איכותי</t>
  </si>
  <si>
    <t>כבל DP זכר - HDMI נקבה 0.2 מ' אקטיבי 4K@60HZ</t>
  </si>
  <si>
    <t>כבל DP זכר - HDMI זכר 1.8 מ' אקטיבי 4K@60HZ</t>
  </si>
  <si>
    <t>כבל DP זכר - HDMI זכר 3 מ' אקטיבי 4K@60HZ</t>
  </si>
  <si>
    <t>כבל DP זכר - DVI נקבה 0.2 מ' אקטיבי 4K@60HZ</t>
  </si>
  <si>
    <t>כבל DP זכר - HDMI+DVI+VGA נקבות, תומך 4K</t>
  </si>
  <si>
    <t>כבל ממיר HDMI נקבה ל-DISPLAYPORT זכר 4k@30hz (למסך DP)</t>
  </si>
  <si>
    <t>כבל ממיר HDMI זכר ל-DISPLAYPORT נקבה 4k@60hz (למסך DP)</t>
  </si>
  <si>
    <t>מפצל DISPLAYPORT זכר ל-2 נקבות (2 מסכים), תומך MST</t>
  </si>
  <si>
    <t>כבל DISPLAY PORT מאריך זכר-נקבה 0.2 מטר</t>
  </si>
  <si>
    <t>מתאם DISPLAY PORT נקבה-נקבה</t>
  </si>
  <si>
    <t>מתאם DISPLAY PORT נקבה-נקבה, לפאנל</t>
  </si>
  <si>
    <t>כבל DP - MINI DP באורך 1 מטר 4K@30HZ</t>
  </si>
  <si>
    <t>כבל DP - MINI DP באורך 3 מטר 4K@30HZ</t>
  </si>
  <si>
    <t>כבל DP - MINI DP באורך 5 מטר 4K@30HZ</t>
  </si>
  <si>
    <t>כבל מתאם MINI DP זכר - DVI נקבה, 0.2 מטר</t>
  </si>
  <si>
    <t>כבל MINI DP זכר - DVI נקבה 0.2 מ' אקטיבי 4K@60HZ</t>
  </si>
  <si>
    <t>כבל MINI DP זכר - DVI זכר, 1.8 מטר</t>
  </si>
  <si>
    <t>כבל MINI DP זכר - DVI זכר, 3 מטר</t>
  </si>
  <si>
    <t>כבל MINI DP זכר - DVI זכר, 5 מטר</t>
  </si>
  <si>
    <t>כבל MINI DP זכר- HDMI נקבה 0.2מ, אקונומי</t>
  </si>
  <si>
    <t>כבל MINI DP זכר- HDMI נקבה 0.2מ</t>
  </si>
  <si>
    <t>כבל MDP זכר - HDMI נקבה 0.2מ' פסיבי 4K</t>
  </si>
  <si>
    <t>כבל MINI DP זכר - HDMI נקבה 0.2 מ' אקטיבי 4K@60HZ</t>
  </si>
  <si>
    <t>כבל MINI DP זכר - HDMI זכר 1.8 מ' אקטיבי 4K@60HZ</t>
  </si>
  <si>
    <t>כבל MINI DP זכר - HDMI זכר 1.8מ' אקונומי</t>
  </si>
  <si>
    <t>כבל MINI DP זכר - HDMI זכר 1.8 מטר</t>
  </si>
  <si>
    <t>כבל MDP זכר - HDMI זכר 1.8מ' פסיבי 4K</t>
  </si>
  <si>
    <t>כבל מתאם MINI DP זכר - VGA נקבה, 0.2 מטר</t>
  </si>
  <si>
    <t>כבל MINI DP זכר - VGA זכר, 1.8 מטר</t>
  </si>
  <si>
    <t>כבל MINI DP זכר - HDMI+DVI+VGA נקבות</t>
  </si>
  <si>
    <t>כבל MINI DP מאריך זכר-נקבה 0.2 מטר</t>
  </si>
  <si>
    <t>כבל USB2.0 שטוח - שטוח, 0.5 מטר  AM-AM</t>
  </si>
  <si>
    <t>כבל USB2.0 שטוח - שטוח, 1 מטר AM-AM</t>
  </si>
  <si>
    <t>כבל USB2.0 שטוח - שטוח, 1.8 מטר  AM-AM</t>
  </si>
  <si>
    <t>כבל USB2.0 שטוח - שטוח, 3 מטר  AM-AM</t>
  </si>
  <si>
    <t>כבל USB2.0 שטוח - שטוח, 5 מטר  AM-AM</t>
  </si>
  <si>
    <t>כבל USB2.0 שטוח - שטוח מקצועי+פריט, 0.5מ</t>
  </si>
  <si>
    <t>כבל USB2.0 שטוח - שטוח מקצועי+פריט, 1מ</t>
  </si>
  <si>
    <t>כבל USB2.0 שטוח - שטוח מקצועי+פריט, 2מ</t>
  </si>
  <si>
    <t>כבל USB2.0 שטוח - שטוח מקצועי+פריט, 3מ</t>
  </si>
  <si>
    <t>כבל USB2.0 שטוח - שטוח מקצועי+פריט, 5מ</t>
  </si>
  <si>
    <t>כבל USB2.0 שטוח - שטוח, 1.8 מטר  AM-AM אקונומי</t>
  </si>
  <si>
    <t>כבל USB2.0 שטוח - ריבוע, 0.5 מטר  AM-BM</t>
  </si>
  <si>
    <t>כבל USB2.0 שטוח - ריבוע, 1 מטר  AM-BM</t>
  </si>
  <si>
    <t>כבל USB2.0 שטוח - ריבוע, 1.8 מטר  AM-BM</t>
  </si>
  <si>
    <t>כבל USB2.0 שטוח - ריבוע, 3 מטר  AM-BM</t>
  </si>
  <si>
    <t>כבל USB2.0 שטוח - ריבוע, 5 מטר  AM-BM</t>
  </si>
  <si>
    <t>כבל USB2.0 שטוח - ריבוע מקצועי+פריט, 1מ</t>
  </si>
  <si>
    <t>כבל USB2.0 שטוח - ריבוע מקצועי+פריט, 2מ</t>
  </si>
  <si>
    <t>כבל USB2.0 שטוח - ריבוע מקצועי+פריט, 3מ</t>
  </si>
  <si>
    <t>כבל USB2.0 שטוח - ריבוע מקצועי+פריט, 5מ</t>
  </si>
  <si>
    <t>כבל USB2.0 שטוח - ריבוע, 1.8 מטר  AM-BM אקונומי</t>
  </si>
  <si>
    <t>כבל USB2.0 שטוח - ריבוע, 3 מטר  AM-BM אקונומי</t>
  </si>
  <si>
    <t>כבל USB2.0 מאריך זכר-נקבה 0.2 מטר  AM-AF</t>
  </si>
  <si>
    <t>כבל USB2.0 מאריך זכר-נקבה 0.5 מטר  AM-AF</t>
  </si>
  <si>
    <t>כבל USB2.0 מאריך זכר-נקבה 1 מטר  AM-AF</t>
  </si>
  <si>
    <t>כבל USB2.0 מאריך זכר-נקבה 1.8 מטר  AM-AF</t>
  </si>
  <si>
    <t>כבל USB2.0 מאריך זכר-נקבה 3 מטר  AM-AF</t>
  </si>
  <si>
    <t>כבל USB2.0 מאריך זכר-נקבה 5 מטר  AM-AF</t>
  </si>
  <si>
    <t>כבל USB2.0 מאריך ז-נ מקצועי+פריט, 1 מ'</t>
  </si>
  <si>
    <t>כבל USB2.0 מאריך ז-נ מקצועי+פריט, 2 מ'</t>
  </si>
  <si>
    <t>כבל USB2.0 מאריך ז-נ מקצועי+פריט, 3 מ'</t>
  </si>
  <si>
    <t>כבל USB2.0 מאריך ז-נ מקצועי+פריט, 5 מ'</t>
  </si>
  <si>
    <t>כבל USB2.0 מאריך זכר-נקבה 1.8 מטר  AM-AF אקונומי</t>
  </si>
  <si>
    <t>כבל USB2.0 מאריך זכר-נקבה 3 מטר  AM-AF אקונומי</t>
  </si>
  <si>
    <t>כבל USB2.0 מאריך זכר זווית שמאל - נקבה 0.2 מטר</t>
  </si>
  <si>
    <t>כבל USB2.0 מאריך זכר זווית ימין - נקבה 0.2 מטר</t>
  </si>
  <si>
    <t>כבל USB2.0 זכר-נקבה לפאנל + ברגים, 0.5מ  AM-AF</t>
  </si>
  <si>
    <t>כבל USB2.0 זכר-נקבה לפאנל + ברגים, 1מ  AM-AF</t>
  </si>
  <si>
    <t>כבל USB2.0 זכר-נקבה לפאנל + ברגים, 1.8מ  AM-AF</t>
  </si>
  <si>
    <t>כבל USB2.0 זכר-נקבה לפאנל + ברגים, 3מ  AM-AF</t>
  </si>
  <si>
    <t>כבל USB2.0 נ-נ לפאנל + ברגים, 0.2מ 24AWG AF-AF</t>
  </si>
  <si>
    <t>כבל Y מפצל USB2.0 מ-A נקבה ל-2xA זכרים</t>
  </si>
  <si>
    <t>כבל Y מפצל USB2.0 מ-A זכר ל-2xA נקבות</t>
  </si>
  <si>
    <t>כבל USB2.0 מאריך אקטיבי 5 מטר  AM-AF</t>
  </si>
  <si>
    <t>כבל USB2.0 מאריך אקטיבי 10 מטר  AM-AF</t>
  </si>
  <si>
    <t>כבל USB2.0 מאריך אקטיבי 15 מטר  AM-AF</t>
  </si>
  <si>
    <t>כבל USB2.0 מאריך אקטיבי 20 מטר  AM-AF</t>
  </si>
  <si>
    <t>כבל USB2.0 מאריך אקטיבי 25 מטר  AM-AF</t>
  </si>
  <si>
    <t>כבל USB2.0 מאריך אקטיבי 30 מטר  AM-AF</t>
  </si>
  <si>
    <t>כבל USB2.0 מאריך אקטיבי זכר ל-2 נקבות 5 מטר</t>
  </si>
  <si>
    <t>כבל USB2.0 מאריך אקטיבי זכר ל-2 נקבות 10 מטר</t>
  </si>
  <si>
    <t>כבל USB2.0 מאריך אקטיבי זכר ל-2 נקבות 15 מטר</t>
  </si>
  <si>
    <t>כבל USB2.0 מאריך אקטיבי זכר ל-2 נקבות 20 מטר</t>
  </si>
  <si>
    <t>כבל USB2.0 למדפסת A-B אקטיבי 10 מטר  AM-BM</t>
  </si>
  <si>
    <t>כבל USB2.0 - מיקרו USB B אורך 0.25 מטר</t>
  </si>
  <si>
    <t>כבל USB2.0 - מיקרו USB B אורך 0.5 מטר</t>
  </si>
  <si>
    <t>כבל USB2.0 - מיקרו USB B אורך 1 מטר</t>
  </si>
  <si>
    <t>כבל USB2.0 - מיקרו USB B אורך 1.8 מטר</t>
  </si>
  <si>
    <t>כבל USB2.0 - מיקרו USB B אורך 3 מטר</t>
  </si>
  <si>
    <t>כבל USB2.0 - מיקרו USB B + פריט 0.5 מטר</t>
  </si>
  <si>
    <t>כבל USB2.0 - מיקרו USB B + פריט 1 מטר</t>
  </si>
  <si>
    <t>כבל USB2.0 - מיקרו USB B + פריט 2 מטר</t>
  </si>
  <si>
    <t>כבל USB2.0 - מיקרו USB B + פריט 3 מטר</t>
  </si>
  <si>
    <t>כבל USB2.0 - מיקרו USB B + פריט 5 מטר</t>
  </si>
  <si>
    <t>כבל USB2.0 - מיקרו USB B R/A איכותי 1.8מ</t>
  </si>
  <si>
    <t>כבל OTG מ-MICRO B זכר ל-USB נקבה, 0.12מ</t>
  </si>
  <si>
    <t>כבל OTG מ-MICRO B R/A זכר ל-USB נקבה קצר</t>
  </si>
  <si>
    <t>כבל OTG מ-MICRO B זכר ל-2*USB נק'+ טעינה</t>
  </si>
  <si>
    <t>כבל מיקרו USB B מאריך ז-נ 1 מטר</t>
  </si>
  <si>
    <t>כבל USB2.0 - ל-MICRO USB A זכר, 1.8 מטר</t>
  </si>
  <si>
    <t>כבל USB2.0 - מיני USB B (טרפז) 0.5 מטר</t>
  </si>
  <si>
    <t>כבל USB2.0 - מיני USB B (טרפז) 1 מטר</t>
  </si>
  <si>
    <t>כבל USB2.0 - מיני USB B (טרפז) 1.8 מטר</t>
  </si>
  <si>
    <t>כבל USB2.0 - מיני USB B (טרפז) 3 מטר</t>
  </si>
  <si>
    <t>כבל USB2.0 - מיני USB B (טרפז) 5 מטר</t>
  </si>
  <si>
    <t>כבל USB2.0 - מיני USB B +פריט 1 מטר</t>
  </si>
  <si>
    <t>כבל USB2.0 - מיני USB B +פריט 2 מטר</t>
  </si>
  <si>
    <t>כבל OTG מ-MINI B זכר ל-USB A נקבה קצר</t>
  </si>
  <si>
    <t>כבל USB 3.0 A-B באורך 0.5 מטר</t>
  </si>
  <si>
    <t>כבל USB 3.0 A-B באורך 1 מטר</t>
  </si>
  <si>
    <t>כבל USB 3.0 A-B באורך 1.8 מטר</t>
  </si>
  <si>
    <t>כבל USB 3.0 A-B באורך 3 מטר</t>
  </si>
  <si>
    <t>כבל USB 3.0 A-B באורך 5 מטר</t>
  </si>
  <si>
    <t>כבל מאריך USB3.0 זכר - נקבה, 0.5 מטר</t>
  </si>
  <si>
    <t>כבל מאריך USB3.0 זכר - נקבה, 1 מטר</t>
  </si>
  <si>
    <t>כבל מאריך USB3.0 זכר - נקבה, 1.8 מטר</t>
  </si>
  <si>
    <t>כבל מאריך USB3.0 זכר - נקבה, 3 מטר</t>
  </si>
  <si>
    <t>כבל מאריך USB3.0 זכר - נקבה, 5 מטר</t>
  </si>
  <si>
    <t>כבל USB3.0 זכר-נקבה לפאנל + ברגים, 0.5מ</t>
  </si>
  <si>
    <t>כבל USB3.0 זכר-נקבה לפאנל + ברגים, 1מ</t>
  </si>
  <si>
    <t>כבל USB3.0 זכר-נקבה לפאנל + ברגים, 1.8מ</t>
  </si>
  <si>
    <t>כבל USB3.0 זכר-נקבה לפאנל + ברגים, 3מ</t>
  </si>
  <si>
    <t>כבל USB3.0 מאריך זכר זווית ימין - נקבה 0.2 מטר</t>
  </si>
  <si>
    <t>כבל USB3.0 מאריך זכר זווית שמאל - נקבה 0.2 מטר</t>
  </si>
  <si>
    <t>כבל USB3.0 A - MICRO B מקצועי+פריט, 0.5מ</t>
  </si>
  <si>
    <t>כבל USB3.0 A - MICRO B מקצועי+פריט, 1 מ'</t>
  </si>
  <si>
    <t>כבל USB3.0 A - MICRO B מקצועי+פריט, 2 מ'</t>
  </si>
  <si>
    <t>כבל USB3.0 A - MICRO B מקצועי+פריט, 3 מ'</t>
  </si>
  <si>
    <t>כבל OTG מ-USB3.0 MICRO B ל-USB2.0 נקבה</t>
  </si>
  <si>
    <t>כבל USB3.0 מ-A זכר ל-A זכר, 0.5 מטר</t>
  </si>
  <si>
    <t>כבל USB3.0 מ-A זכר ל-A זכר, 1 מטר</t>
  </si>
  <si>
    <t>כבל USB3.0 מ-A זכר ל-A זכר, 1.8 מטר</t>
  </si>
  <si>
    <t>כבל USB3.0 מ-A זכר ל-A זכר, 3 מטר</t>
  </si>
  <si>
    <t>כבל USB3.0 מ-A זכר ל-A זכר, 5 מטר</t>
  </si>
  <si>
    <t>כבלים USB3.0 ארוכים - מוגברים ו-AOC</t>
  </si>
  <si>
    <t>כבל USB3.0 מאריך 20 מטר, מבוסס סיב אופטי</t>
  </si>
  <si>
    <t>כבל USB3.0 מאריך 30 מטר, מבוסס סיב אופטי</t>
  </si>
  <si>
    <t>כבלים ומתאמים USB C</t>
  </si>
  <si>
    <t>מתאם USB תקע C זכר - MICRO B 2.0 נקבה</t>
  </si>
  <si>
    <t>מתאם USB2.0 מ-MICRO B זכר - C נקבה</t>
  </si>
  <si>
    <t>מתאם OTG מ- USB C זכר ל-UAB3.0 A נקבה</t>
  </si>
  <si>
    <t>מתאם USB C נקבה - UAB3.0 A זכר</t>
  </si>
  <si>
    <t>מתאם USB C נקבה נקבה (חיווט מלא)</t>
  </si>
  <si>
    <t>כבל OTG מ-MICRO B זכר ל-2*USB נקבה</t>
  </si>
  <si>
    <t>כבלים THUNDERBOLT 3/4</t>
  </si>
  <si>
    <t>כבל THUNDERBOLT 3 40GBPS TYPE C - C אורך 0.5מ</t>
  </si>
  <si>
    <t>כבל THUNDERBOLT 3 40GBPS TYPE C - C אורך 1מ</t>
  </si>
  <si>
    <t>כבל THUNDERBOLT 3 40GBPS TYPE C - C אורך 1.5מ</t>
  </si>
  <si>
    <t>כבל THUNDERBOLT 4 40GBPS TYPE C - C אורך 1מ</t>
  </si>
  <si>
    <t>כבל THUNDERBOLT 4 40GBPS TYPE C - C אורך 1.5מ</t>
  </si>
  <si>
    <t>כבל THUNDERBOLT 4 40GBPS TYPE C - C אורך 2מ</t>
  </si>
  <si>
    <t>כבלים ל-OCULUS HEADSET</t>
  </si>
  <si>
    <t>כבל USB3.2/G1 A-C ל-OCULUS QUEST HEADSET באורך 3מ</t>
  </si>
  <si>
    <t>כבל USB3.2/G1 A-C ל-OCULUS QUEST HEADSET באורך 5מ</t>
  </si>
  <si>
    <t>כבל USB3.2/G1 C-C ל-OCULUS QUEST HEADSET באורך 3מ</t>
  </si>
  <si>
    <t>כבל USB3.2/G1 C-C ל-OCULUS QUEST HEADSET באורך 5מ</t>
  </si>
  <si>
    <t>כבלים ממירים / מתאמים מולטיפורט USB C</t>
  </si>
  <si>
    <t>מתאם USB C ל-VGA נקבה</t>
  </si>
  <si>
    <t>מתאם USB C ל-DVI נקבה תומך 4K*2K</t>
  </si>
  <si>
    <t>מתאם USB C ל-MINI DP נקבה תומך 4K@60hz</t>
  </si>
  <si>
    <t>כבל USB C זכר ל-VGA זכר 1.8מ'</t>
  </si>
  <si>
    <t>כבל USB C זכר ל-DVI זכר 1.8מ' 4K@30HZ</t>
  </si>
  <si>
    <t>כבל USB C ל-DP זכר 3 מ' תומך 4K*2K@60hz</t>
  </si>
  <si>
    <t>מתאם USB C לאודיו אוזניות + מיקרופון</t>
  </si>
  <si>
    <t>מתאם USB C לאודיו 3.5 מ"מ עם צ'יפ DAC מובנה</t>
  </si>
  <si>
    <t>מתאם USB C לאודיו 3.5 מ"מ עם צ'יפ DAC + טעינה (תומך PD3.0)</t>
  </si>
  <si>
    <t>מתאם USB C ל-USB3.0 + USB3.1-C + VGA</t>
  </si>
  <si>
    <t>מתאם USB 3.2 TYPE C ל-RJ45 LAN 2.5G</t>
  </si>
  <si>
    <t>מתאם USB C ל-LAN GIGA + 3xUSB3.0 HUB</t>
  </si>
  <si>
    <t>מתאם USB C ל-USB3.0 + C(PD) + HDMI + RJ45</t>
  </si>
  <si>
    <t>מתאם USB C ל-USB3.0 + C + HDMI + VGA</t>
  </si>
  <si>
    <t>מארז חיצוני לכונני NVME PCIE SSD M.2 בחיבור TB3 40GBPS</t>
  </si>
  <si>
    <t>כבל USB C - סריאלי DB9 זכר אורך 1.5 מטר FTDI</t>
  </si>
  <si>
    <t>כבל USB C זכר - SATA 22P באורך 0.3מ</t>
  </si>
  <si>
    <t>כבל USB - סריאלי DB9 זכר אורך 1.8מ צ'יפ PROLIFIC PL2303</t>
  </si>
  <si>
    <t>כבל USB - סריאלי DB9 זכר אורך 1.5 מטר FTDI</t>
  </si>
  <si>
    <t>כבל USB -סריאלי DB9 זכר אורך 1.8מ, אקונומי</t>
  </si>
  <si>
    <t>כבל ממיר USB - פרללי CN36 אורך 1.8 מטר</t>
  </si>
  <si>
    <t>כבל ממיר USB - פרללי DB25 אורך 1.8 מטר</t>
  </si>
  <si>
    <t>כבל USB2.0 ל-RS422/485 אורך 1.8מ עם צ'יפ FTDI FT232RL</t>
  </si>
  <si>
    <t>כבל USB3.0 זכר - SATA 22P באורך 0.3מ</t>
  </si>
  <si>
    <t>ממיר USB3.0 - SATA/IDE איכותי עם ספק כוח</t>
  </si>
  <si>
    <t>מתאם USB BLUETOOTH V5.0 בבליסטר</t>
  </si>
  <si>
    <t>מתאם אודיו BLUETOOTH 4.1 בבליסטר</t>
  </si>
  <si>
    <t>קורא כרטיסים אוניברסלי USB2.0</t>
  </si>
  <si>
    <t>קורא כרטיסים אוניברסלי USB3.0</t>
  </si>
  <si>
    <t>מתאם אודיו USB לאזניות+מיקרופון בבליסטר</t>
  </si>
  <si>
    <t>מתאם אודיו USB 7.1 בליסטר</t>
  </si>
  <si>
    <t>מתאם אודיו USB אלומיניום איכותי בבליסטר</t>
  </si>
  <si>
    <t>כבל מתאם USB זכר - 2xPS/2 עכבר+מקלדת</t>
  </si>
  <si>
    <t>מתאם רשת USB2.0 - LAN RJ45 10/100 +כבל, WIN10</t>
  </si>
  <si>
    <t>מתאם USB2.0 - LAN RJ45 + 3*USB2.0 HUB</t>
  </si>
  <si>
    <t>מתאם USB 3.2 TYPE A ל-RJ45 LAN 2.5G</t>
  </si>
  <si>
    <t>מתאם רשת USB3.0 ל-2 חיבורי LAN RJ45 10/100/1000</t>
  </si>
  <si>
    <t>מתאם USB3.0- LAN GIGA RJ45+ 3*USB3.0 HUB</t>
  </si>
  <si>
    <t>מתאם USB3.0 - VGA למסך מחשב, תומך WIN10</t>
  </si>
  <si>
    <t>דונגל לכידת HDMI ל-USB2.0 (להקליט למחשב)</t>
  </si>
  <si>
    <t>דונגל + כבל קצר ללכידת HDMI ל-USB2.0 (להקליט למחשב)</t>
  </si>
  <si>
    <t>כבל USB - TTL 3.3V 1.8M עם מחבר 6 פינים</t>
  </si>
  <si>
    <t>כבל USB - TTL 3.3V 1.8M ל-6 פינים נפרדים</t>
  </si>
  <si>
    <t>כבל USB - TTL 3.3V 1.8M לראש 3.5 סטריאו</t>
  </si>
  <si>
    <t>כבל קונסול USB C ז'- RJ45 ז' לסיסקו ואחרים</t>
  </si>
  <si>
    <t>כבל קונסול DB9 נ'- RJ45 ז' לסיסקו ואחרים</t>
  </si>
  <si>
    <t>כבל RJ45 ז-ז CONSOLE ROLLOVER לסיסקו באורך 3מ</t>
  </si>
  <si>
    <t>רכזות USB2.0/3.0 ו-TYPE C</t>
  </si>
  <si>
    <t>רכזת USB2.0 עם 4 פורט</t>
  </si>
  <si>
    <t>מתאם USB 2.0 נקבה - נקבה</t>
  </si>
  <si>
    <t>מתאם USB 2.0 זכר - זכר</t>
  </si>
  <si>
    <t>מתאם USB2.0 מ-B זכר ל-A נקבה</t>
  </si>
  <si>
    <t>מתאם USB2.0 זוויתי זכר - נקבה (90 מעלות)</t>
  </si>
  <si>
    <t>מתאם USB3.0 זוויתי זכר - נקבה (90 מעלות)</t>
  </si>
  <si>
    <t>מתאם USB3.0 זוויתי זכר - נקבה (270 מעלות)</t>
  </si>
  <si>
    <t>מתאם USB 3.0 נקבה - נקבה</t>
  </si>
  <si>
    <t>כבל USB LIGHTNING איכותי באורך 1 מטר</t>
  </si>
  <si>
    <t>כבל iPHONE, iPOD ל-3.5 AUX לרכב + USB</t>
  </si>
  <si>
    <t>כבל לסנכרון וטעינה Galaxy Tab - USB 1M</t>
  </si>
  <si>
    <t>כבל לסנכרון וטעינה Galaxy Tab - USB 2M</t>
  </si>
  <si>
    <t>כבל OTG מגלקסי טאבלט זכר ל-USB נקבה</t>
  </si>
  <si>
    <t>כבל לסנכרון וטעינה ASUS - USB3.0 1M</t>
  </si>
  <si>
    <t>כבל MHL אוניברסלי לגלקסי 2/3/4/5 אורך 2מ</t>
  </si>
  <si>
    <t>כבל MHL 3.0 באורך 2 מטר (תומך 5+11 פין)</t>
  </si>
  <si>
    <t>כבל MHL ליציאת VGA + אודיו לגלקסי S3/4/5</t>
  </si>
  <si>
    <t>כבל מדפסת פרללי DB25 - CN36 באורך 1.8 מ'</t>
  </si>
  <si>
    <t>כבל סיריאלי ז-נ 9 פינים 1:1 אורך 1.8 מטר</t>
  </si>
  <si>
    <t>כבל סיריאלי ז-נ 9 פינים 1:1 אורך 3 מטר</t>
  </si>
  <si>
    <t>כבל סיריאלי ז-נ 9 פינים 1:1 אורך 5 מטר</t>
  </si>
  <si>
    <t>כבל סיריאלי ז-נ 9 פינים 1:1 אורך 10 מטר</t>
  </si>
  <si>
    <t>כבל סיריאלי ז-נ 9 פינים 1:1 אורך 15 מטר</t>
  </si>
  <si>
    <t>כבל סיריאלי ז-נ 9 פינים 1:1 אורך 20 מטר</t>
  </si>
  <si>
    <t>כבל סיריאלי 9 פינים נ'-נ', 1:1 באורך 1.8</t>
  </si>
  <si>
    <t>כבל סיריאלי 9 פינים נ'-נ', 1:1 באורך 3 מ</t>
  </si>
  <si>
    <t>כבל 9 פינים נ-נ מוצלב, יצוק, באורך 1.8 מ</t>
  </si>
  <si>
    <t>כבל 9 פינים נ-נ מוצלב, יצוק, באורך 3 מ</t>
  </si>
  <si>
    <t>כבל Y מפצל סריאלי פסיבי DB9 נקבה ל-2 זכרים</t>
  </si>
  <si>
    <t>כבל Y מפצל סריאלי פסיבי DB9 זכר ל-2 נקבות</t>
  </si>
  <si>
    <t>כבל סיריאלי 9 פינים ז-ז 1:1 באורך 1.8 מט</t>
  </si>
  <si>
    <t>כבל SATA דאטה עם נעילה, 0.5 מטר</t>
  </si>
  <si>
    <t>כבל SATA דאטה עם נעילה, 1 מטר</t>
  </si>
  <si>
    <t>כבל SATA דאטה 0.45 מטר, צד אחד ב-90</t>
  </si>
  <si>
    <t>כבל SATA דאטה עם נעילה 1 מ', צד אחד ב-90</t>
  </si>
  <si>
    <t>כבל SATA 3.0 דאטה באורך 0.5 מטר</t>
  </si>
  <si>
    <t>כבל SATA 3.0 דאטה באורך 1 מטר</t>
  </si>
  <si>
    <t>כבל SATA 3.0 דאטה 0.5 מטר, צד אחד ב-90</t>
  </si>
  <si>
    <t>כבל כוח MOLEX זכר - 2 נקבות, 0.2 מטר</t>
  </si>
  <si>
    <t>כבל MOLEX ז' - SATA נ' באורך 0.15 מ</t>
  </si>
  <si>
    <t>מפצל מתח SATA 15p זכר - 2 נקבות, 0.15 מ'</t>
  </si>
  <si>
    <t>כבל MOLEX נקבה- SATA זכר, לכונן ישן 0.15</t>
  </si>
  <si>
    <t>כבל Slim SATA - SATA משולב מתח+דאטה 0.4מ</t>
  </si>
  <si>
    <t>כבל SATA זכר - 6pin PCI express</t>
  </si>
  <si>
    <t>כבל SATA - ESATA באורך 1 מטר</t>
  </si>
  <si>
    <t>כבל FIREWIRE עם 6 פינים - 9 פינים, 1.8 מ</t>
  </si>
  <si>
    <t>כבל מתח "קומקום" C13 לישראלי תיקני 3x0.75 באורך 0.5 מטר</t>
  </si>
  <si>
    <t>כבל מתח "קומקום" C13 לישראלי תיקני 3x0.75 באורך 1 מטר</t>
  </si>
  <si>
    <t>כבל מתח "קומקום" C13 לישראלי תיקני 3x0.75 באורך 1.5 מטר</t>
  </si>
  <si>
    <t>כבל מתח "קומקום" C13 לישראלי תיקני 3x0.75 באורך 1.8 מטר</t>
  </si>
  <si>
    <t>כבל מתח "קומקום" C13 לישראלי תיקני 3x1.00 באורך 3 מטר</t>
  </si>
  <si>
    <t>כבל מתח "קומקום" C13 לישראלי תיקני 3x1.00 באורך 5 מטר</t>
  </si>
  <si>
    <t>כבל מתח "קומקום" C13 לישראלי תיקני 3x1.00 באורך 10 מטר</t>
  </si>
  <si>
    <t>כבל מתח "קומקום" C13 לישראלי תיקני 3x1.50 באורך 1.8 מטר</t>
  </si>
  <si>
    <t>כבל מתח "קומקום" C13 זוויתי לישראלי תיקני 3x0.75 באורך 1.8מ</t>
  </si>
  <si>
    <t>כבל מתח "קומקום" C13 זוויתי לישראלי תיקני 3x1.00 באורך 3מ</t>
  </si>
  <si>
    <t>כבל מתח "קומקום" C13 זוויתי לישראלי תיקני 3x1.00 באורך 5מ</t>
  </si>
  <si>
    <t>כבל C7 - C14 באורך 2 מטר</t>
  </si>
  <si>
    <t>כבל מתח מאריך C13-C14 ז-נ תיקני 3x0.75 באורך 0.5 מטר</t>
  </si>
  <si>
    <t>כבל מתח מאריך C13-C14 ז-נ תיקני 3x0.75 באורך 1 מטר</t>
  </si>
  <si>
    <t>כבל מתח מאריך C13-C14 ז-נ תיקני 3x0.75 באורך 1.5 מטר</t>
  </si>
  <si>
    <t>כבל מתח מאריך C13-C14 ז-נ תיקני 3x0.75 באורך 1.8 מטר</t>
  </si>
  <si>
    <t>כבל מתח מאריך C13-C14 ז-נ תיקני 3x1.00 באורך 3 מטר</t>
  </si>
  <si>
    <t>כבל מתח מאריך C13-C14 ז-נ תיקני 3x1.00 באורך 5 מטר</t>
  </si>
  <si>
    <t>כבל מתח מאריך C13-C14 ז-נ תיקני 3x1.00 באורך 10 מטר</t>
  </si>
  <si>
    <t>כבל מתח C14-C15 עם שגם תיקני 3x0.75 באורך 1 מטר</t>
  </si>
  <si>
    <t>כבל מתח C14-C15 עם שגם תיקני 3x0.75 באורך 1.8 מטר</t>
  </si>
  <si>
    <t>כבל מתח C14-C15 עם שגם תיקני 3x1.00 באורך 3 מטר</t>
  </si>
  <si>
    <t>כבל מתח C14-C15 עם שגם תיקני 3x1.00 באורך 5 מטר</t>
  </si>
  <si>
    <t>כבל מתח מיקי מאוס C5 לישראלי תיקני 3x0.75 באורך 1 מטר</t>
  </si>
  <si>
    <t>כבל מתח מיקי מאוס C5 לישראלי תיקני 3x0.75 באורך 1.5 מטר</t>
  </si>
  <si>
    <t>כבל מתח מיקי מאוס C5 לישראלי תיקני 3x0.75 באורך 1.8 מטר</t>
  </si>
  <si>
    <t>כבל מתח מיקי מאוס C5 לישראלי תיקני 3x1.00 באורך 3 מטר</t>
  </si>
  <si>
    <t>כבל מתח מיקי מאוס C5 לישראלי תיקני 3x1.00 באורך 5 מטר</t>
  </si>
  <si>
    <t>מתאם לאל פסק, תקע קומקום לשקע ישראלי בודד</t>
  </si>
  <si>
    <t>כבל כוח C19 - ישראלי לשרתים 3*1.5, 1.8מ'</t>
  </si>
  <si>
    <t>כבל כוח C19 - ישראלי לשרתים 3*1.5, 3 מטר</t>
  </si>
  <si>
    <t>כבל כוח C19 - ישראלי לשרתים 3*1.5, 5 מטר</t>
  </si>
  <si>
    <t>כבל כוח C19 - C20 לשרתים 3*1.5, 1.8 מטר</t>
  </si>
  <si>
    <t>כבל כוח C19 - C20 לשרתים 3*1.5, 3 מטר</t>
  </si>
  <si>
    <t>כבל כוח C19 - C20 לשרתים 3*1.5, 5 מטר</t>
  </si>
  <si>
    <t>כבל מתח C19-C20 ז-נ 3x1.50 באורך 1.5 מטר אדום</t>
  </si>
  <si>
    <t>כבל מתח C19-C20 ז-נ 3x1.50 באורך 1 מטר אדום</t>
  </si>
  <si>
    <t>כבל כוח C13 - C20 לשרתים 3*1.5, 1.8 מטר</t>
  </si>
  <si>
    <t>כבל כוח C19 - C14 לשרתים 3*1.5, 1.8 מטר</t>
  </si>
  <si>
    <t>כבל כוח C19 - C14 לשרתים 3*1.5, 3 מטר</t>
  </si>
  <si>
    <t>כבל סיקון זכר 16A מתח גבוה ל-C19 אורך 3מ</t>
  </si>
  <si>
    <t>כבל סיקון זכר 16A מתח גבוה ל-C19 אורך 5מ</t>
  </si>
  <si>
    <t>כבל כוח C14 - 2xC13 באורך 1.8 מטר</t>
  </si>
  <si>
    <t>תקע 220V ישראלי תיקני 3 פינים לבן לכבל</t>
  </si>
  <si>
    <t>שקע 220V ישראלי תיקני 3 פינים לבן לכבל</t>
  </si>
  <si>
    <t>מתאם ננעל משקע אמריקאי לתקע ישראלי דו פיני שחור, תיקני</t>
  </si>
  <si>
    <t>מתאם ננעל משקע אמריקאי לתקע ישראלי דו פיני לבן, תיקני</t>
  </si>
  <si>
    <t>מתאם ננעל משקע אירופאי לתקע ישראלי תלת פיני שחור, תיקני</t>
  </si>
  <si>
    <t>כבל מתח "קומקום" C13 לאירופאי/גרמני אורך סטנדרט  (סטוק)</t>
  </si>
  <si>
    <t>כבל מתח "קומקום" C13 לאמריקאי באורך 1.8 מטר</t>
  </si>
  <si>
    <t>כבל מתח מיקי מאוס C5 לאמריקאי באורך 1.8 מטר</t>
  </si>
  <si>
    <t>זוג</t>
  </si>
  <si>
    <t>זוג מדבקות סימון למגשר רשת RJ45 + הדבקה</t>
  </si>
  <si>
    <t>זוג מדבקות סימון למגשר אופטי כפול + הדבקה</t>
  </si>
  <si>
    <t>חבילה 1.5מ</t>
  </si>
  <si>
    <t>מאגד כבלים פלסטי אפור 25 מ"מ 1.5מ' + כלי</t>
  </si>
  <si>
    <t>מאגד כבלים פלסטי שחור 25 מ"מ 1.5מ' + כלי</t>
  </si>
  <si>
    <t>מאגד כבלים פלסטי לבן 25 מ"מ 1.5מ' + כלי</t>
  </si>
  <si>
    <t>חבילה 20מ</t>
  </si>
  <si>
    <t>מאגד כבלים פלסטי אפור 25 מ"מ 20מ' + כלי</t>
  </si>
  <si>
    <t>מאגד כבלים פלסטי שחור 25 מ"מ 20מ' + כלי</t>
  </si>
  <si>
    <t>מאגד כבלים פלסטי לבן 25 מ"מ 20מ' + כלי</t>
  </si>
  <si>
    <t>מאגד כבלים פלסטי צהוב 25 מ"מ 20מ' + כלי</t>
  </si>
  <si>
    <t>כלי ספייר למאגדי כבלים מדגמים SWB001-004</t>
  </si>
  <si>
    <t>חבילה 10מ</t>
  </si>
  <si>
    <t>רצועת סקוטש דו-צדדי שחור, חבילה של 5 מטר</t>
  </si>
  <si>
    <t>רצועת סקוטש דו-צדדי אפור, חבילה של 5 מטר</t>
  </si>
  <si>
    <t>רצועת סקוטש לאיגוד כבלים 20x1.2CM שחור</t>
  </si>
  <si>
    <t>רצועת סקוטש לאיגוד כבלים 20x1.2CM כחול</t>
  </si>
  <si>
    <t>רצועת סקוטש לאיגוד כבלים 20x1.2CM ירוק</t>
  </si>
  <si>
    <t>רצועת סקוטש לאיגוד כבלים 20x1.2CM אדום</t>
  </si>
  <si>
    <t>רצועת סקוטש לאיגוד כבלים 20x1.2CM לבן</t>
  </si>
  <si>
    <t>רצועת סקוטש לאיגוד כבלים 20x1.2CM צהוב</t>
  </si>
  <si>
    <t>מארז 100 אזיקונים</t>
  </si>
  <si>
    <t>חבילה 100 יחידות חבק 100x2.5 שחור</t>
  </si>
  <si>
    <t>חבילה 100 יחידות חבק 100x2.5 לבן</t>
  </si>
  <si>
    <t>חבילה 100 יחידות חבק 150x2.5 שחור</t>
  </si>
  <si>
    <t>חבילה 100 יחידות חבק 150x2.5 לבן</t>
  </si>
  <si>
    <t>חבילה 100 יחידות חבק 200x3.6 שחור</t>
  </si>
  <si>
    <t>חבילה 100 יחידות חבק 200x3.6 לבן</t>
  </si>
  <si>
    <t>חבילה 100 יחידות חבק 292x3.6 שחור</t>
  </si>
  <si>
    <t>חבילה 100 יחידות חבק 292x3.6 לבן</t>
  </si>
  <si>
    <t>חבילה 100 יחידות חבק דיגלון 100x2.5 לבן</t>
  </si>
  <si>
    <t>חבילה 100 יחידות חבק דיגלון 200x4.8 לבן</t>
  </si>
  <si>
    <t>כבל אופטי Toslink איכותי אורך 0.5 מ' TopX</t>
  </si>
  <si>
    <t>כבל אופטי Toslink איכותי אורך 1 מ' TopX</t>
  </si>
  <si>
    <t>כבל אופטי Toslink איכותי אורך 1.5 מ' TopX</t>
  </si>
  <si>
    <t>כבל אופטי Toslink איכותי אורך 2 מ' TopX</t>
  </si>
  <si>
    <t>כבל אופטי Toslink איכותי אורך 3 מ' TopX</t>
  </si>
  <si>
    <t>כבל אופטי Toslink איכותי אורך 5 מ' TopX</t>
  </si>
  <si>
    <t>כבל אופטי Toslink איכותי אורך 7.5 מ' TopX</t>
  </si>
  <si>
    <t>כבל אופטי Toslink איכותי אורך 10 מ' TopX</t>
  </si>
  <si>
    <t>כבל אופטי Toslink איכותי אורך 15 מ' TopX</t>
  </si>
  <si>
    <t>כבל אופטי Toslink איכותי אורך 20 מ' TopX</t>
  </si>
  <si>
    <t>כבל אופטי Toslink איכותי אורך 25 מ' TopX</t>
  </si>
  <si>
    <t>כבל אופטי Toslink איכותי אורך 30 מ' TopX</t>
  </si>
  <si>
    <t>כבל אופטי TOSLINK ל-3.5 (מיני), 1.8 מטר</t>
  </si>
  <si>
    <t>מתאם אופטי TOSLINK נקבה - מיני 3.5 זכר</t>
  </si>
  <si>
    <t>מתאם אופטי TOSLINK נקבה - נקבה</t>
  </si>
  <si>
    <t>מתאם אופטי TOSLINK זוויתי ב-90 מעלות</t>
  </si>
  <si>
    <t>ממיר אודיו דיגיטלי לאנלוגי(מאופטי או קואקסיאלי ל-RCA/PL3.5)</t>
  </si>
  <si>
    <t>ממיר אודיו דיגיטלי דו כיווני RCA קואקס &lt;&gt; אופטי</t>
  </si>
  <si>
    <t>מפצל אופטי פסיבי 1 ל-2 בו זמנית</t>
  </si>
  <si>
    <t>מפצל אופטי פסיבי 1 ל-2 בו זמנית +כבל קצר</t>
  </si>
  <si>
    <t>ממתג אופטי ידני דו-כיווני 3:1</t>
  </si>
  <si>
    <t>מפצל אופטי S/PDIF מוגבר מ-1 ל-3 יציאות</t>
  </si>
  <si>
    <t>ממתג אופטי S/PDIF מוגבר מ-3 ליציאה אחת</t>
  </si>
  <si>
    <t>כבל PL 3.5 ז-ז מסוכך יצוק, 1 מטר</t>
  </si>
  <si>
    <t>כבל PL 3.5 ז-ז מסוכך יצוק, 1.8 מטר</t>
  </si>
  <si>
    <t>כבל PL 3.5 ז-ז מסוכך יצוק, 3 מטר</t>
  </si>
  <si>
    <t>כבל PL 3.5 ז-ז מסוכך יצוק, 5 מטר</t>
  </si>
  <si>
    <t>כבל PL 3.5 ז-ז מסוכך יצוק, 7.5 מטר</t>
  </si>
  <si>
    <t>כבל PL 3.5 ז-ז מסוכך יצוק, 10 מטר</t>
  </si>
  <si>
    <t>כבל PL 3.5 ז-ז מסוכך יצוק, 15 מטר</t>
  </si>
  <si>
    <t>כבל אודיו 3.5 סטריאו ז-ז, אורך 1מ TopX</t>
  </si>
  <si>
    <t>כבל אודיו 3.5 סטריאו ז-ז, אורך 1.8מ TopX</t>
  </si>
  <si>
    <t>כבל אודיו 3.5 סטריאו ז-ז, אורך 3מ' TopX</t>
  </si>
  <si>
    <t>כבל אודיו 3.5 סטריאו ז-ז, אורך 5מ' TopX</t>
  </si>
  <si>
    <t>כבל אודיו 3.5 סטריאו ז-ז, אורך 10מ' TopX</t>
  </si>
  <si>
    <t>כבל אודיו 3.5 סטריאו ז-ז, אורך 15מ' TopX</t>
  </si>
  <si>
    <t>כבל אודיו 3.5 סטריאו ז-ז, אורך 20מ' TopX</t>
  </si>
  <si>
    <t>כבל PL3.5 סט' ז-ז, ראש דק לסמארטפון 1.2מ</t>
  </si>
  <si>
    <t>כבל PL3.5 סט' ז-ז, ראש דק לסמארטפון 2מ</t>
  </si>
  <si>
    <t>כבל מאריך PL 3.5 סטריאו זכר-נקבה 5 מטר</t>
  </si>
  <si>
    <t>כבל מאריך PL 3.5 סטריאו זכר-נקבה 10 מטר</t>
  </si>
  <si>
    <t>כבל מאריך PL 3.5 סטריאו זכר-נקבה 15 מטר</t>
  </si>
  <si>
    <t>כבל מאריך PL 3.5 סטריאו זכר-נקבה 20 מטר</t>
  </si>
  <si>
    <t>כבל PL 3.5 זכר-נקבה מסוכך יצוק, 1.8 מטר</t>
  </si>
  <si>
    <t>כבל PL 3.5 זכר-נקבה מסוכך יצוק, 3 מטר</t>
  </si>
  <si>
    <t>כבל PL 3.5 זכר-נקבה מסוכך יצוק, 5 מטר</t>
  </si>
  <si>
    <t>כבל PL 3.5 זכר-נקבה מסוכך יצוק, 10 מטר</t>
  </si>
  <si>
    <t>כבל מאריך 3.5 סטריאו ז-נ, אורך 1.8מ TopX</t>
  </si>
  <si>
    <t>כבל מאריך 3.5 סטריאו ז-נ, אורך 3מ TopX</t>
  </si>
  <si>
    <t>כבל מאריך 3.5 סטריאו ז-נ, אורך 5מ TopX</t>
  </si>
  <si>
    <t>כבל מאריך 3.5 סטריאו ז-נ, אורך 10מ TopX</t>
  </si>
  <si>
    <t>כבל מאריך 3.5 סטריאו ז-נ, אורך 15מ TopX</t>
  </si>
  <si>
    <t>כבל מאריך 3.5 סטריאו ז-נ, אורך 20מ TopX</t>
  </si>
  <si>
    <t>כבל PL 3.5 סטריאו - 2xRCA מוזהב, 1.8 מטר</t>
  </si>
  <si>
    <t>כבל PL 3.5 סטריאו - 2xRCA מוזהב, 3 מטר</t>
  </si>
  <si>
    <t>כבל PL3.5-2xRCA ז-ז מסוכך יצוק, 1 מטר</t>
  </si>
  <si>
    <t>כבל PL3.5-2xRCA ז-ז מסוכך יצוק, 1.8 מטר</t>
  </si>
  <si>
    <t>כבל PL3.5-2xRCA ז-ז מסוכך יצוק, 3 מטר</t>
  </si>
  <si>
    <t>כבל PL3.5-2xRCA ז-ז מסוכך יצוק, 5 מטר</t>
  </si>
  <si>
    <t>כבל PL3.5-2xRCA ז-ז מסוכך יצוק, 7.5 מטר</t>
  </si>
  <si>
    <t>כבל PL3.5-2xRCA ז-ז מסוכך יצוק, 10 מטר</t>
  </si>
  <si>
    <t>כבל PL3.5-2xRCA ז-ז מסוכך יצוק, 15 מטר</t>
  </si>
  <si>
    <t>כבל אודיו 3.5MM - 2xRCA, אורך 1מ TopX</t>
  </si>
  <si>
    <t>כבל אודיו 3.5MM - 2xRCA, אורך 1.8מ TopX</t>
  </si>
  <si>
    <t>כבל אודיו 3.5MM - 2xRCA, אורך 3מ TopX</t>
  </si>
  <si>
    <t>כבל אודיו 3.5MM - 2xRCA, אורך 5מ TopX</t>
  </si>
  <si>
    <t>כבל אודיו 3.5MM - 2xRCA, אורך 7.5מ TopX</t>
  </si>
  <si>
    <t>כבל אודיו 3.5MM - 2xRCA, אורך 10מ TopX</t>
  </si>
  <si>
    <t>כבל אודיו 3.5MM - 2xRCA, אורך 15מ TopX</t>
  </si>
  <si>
    <t>כבל אודיו 3.5MM - 2xRCA, אורך 20מ TopX</t>
  </si>
  <si>
    <t>כבל 3.5STEREO - 2x6.35 MONO אורך 2מ TopX</t>
  </si>
  <si>
    <t>כבל 3.5STEREO - 2x6.35 MONO אורך 3מ TopX</t>
  </si>
  <si>
    <t>כבל 3.5STEREO - 2x6.35 MONO אורך 5מ TopX</t>
  </si>
  <si>
    <t>כבל 3.5STEREO- 2x6.35 MONO אורך 10מ TopX</t>
  </si>
  <si>
    <t>כבל 2xRCA - 2x6.35 MONO אורך 2מ TopX</t>
  </si>
  <si>
    <t>כבל 2xRCA - 2x6.35 MONO אורך 3מ TopX</t>
  </si>
  <si>
    <t>כבל 2xRCA - 2x6.35 MONO אורך 5מ TopX</t>
  </si>
  <si>
    <t>כבל 3.5 סטריאו - 6.35 מונו בודד 1מ TopX</t>
  </si>
  <si>
    <t>כבל 3.5 סטריאו - 6.35 מונו בודד 2מ TopX</t>
  </si>
  <si>
    <t>כבל 3.5 סטריאו - 6.35 מונו בודד 3מ TopX</t>
  </si>
  <si>
    <t>כבל 3.5 סטריאו - 6.35 מונו בודד 5מ TopX</t>
  </si>
  <si>
    <t>כבל 6.35 מונו - 6.35 מונו בודד 1מ TopX</t>
  </si>
  <si>
    <t>כבל 6.35 מונו - 6.35 מונו בודד 2מ TopX</t>
  </si>
  <si>
    <t>כבל 6.35 מונו - 6.35 מונו בודד 3מ TopX</t>
  </si>
  <si>
    <t>כבל SONY PLAYSTATION - 3xRCA באורך 1.8 מ</t>
  </si>
  <si>
    <t>כבל PL 3 טבעות - 3xRCA למצלמות, 1.5 מטר</t>
  </si>
  <si>
    <t>כבל RCA זכר - 2 נקבות, איכותי 0.2מ</t>
  </si>
  <si>
    <t>כבל RCA נקבה - 2xRCA זכר איכותי 0.2 מטר</t>
  </si>
  <si>
    <t>כבל PL 3.5 סט' נ'- 2xRCA ז', איכותי 0.2מ</t>
  </si>
  <si>
    <t>כבל PL 3.5 סט' ז'- 2xRCA נ', איכותי 0.2מ</t>
  </si>
  <si>
    <t>כבל PL3.5 סט' זכר - 2 נקבות, איכותי 0.2מ</t>
  </si>
  <si>
    <t>כבל PL3.5 סט' זכר - 2 נקבות, ראש דק 0.2מ</t>
  </si>
  <si>
    <t>כבל PL3.5 - PL2.5 סט', ראש דק לסמארטפון 1.8מ</t>
  </si>
  <si>
    <t>כבל PL3.5 זכר - אוזניות נ' + מיקרופון נ'</t>
  </si>
  <si>
    <t>כבל PL3.5 נקבה- אוזניות ז' + מיקרופון ז'</t>
  </si>
  <si>
    <t>כבל מפצל 3.5MM TRRS זכר ל-2 נקבות TRRS</t>
  </si>
  <si>
    <t>כבל מתאם קצר 3.5 נקבה - 2.5 זכר, 4 מגעים</t>
  </si>
  <si>
    <t>כבל מתאם קצר 3.5 זכר - 2.5 נקבה, 4 מגעים</t>
  </si>
  <si>
    <t>כבל 3.5MM TRRS זכר-זכר (4 מגעים), 1 מטר</t>
  </si>
  <si>
    <t>כבל 3.5MM TRRS זכר-זכר (4 מגעים), 2 מטר</t>
  </si>
  <si>
    <t>כבל 3.5MM TRRS זכר-זכר (4 מגעים), 3 מטר</t>
  </si>
  <si>
    <t>כבל 3.5MM TRRS זכר-נקבה (4 מגעים), 0.5מ'</t>
  </si>
  <si>
    <t>כבל 3.5MM TRRS זכר-נקבה (4 מגעים), 1 מטר</t>
  </si>
  <si>
    <t>כבל 3.5MM TRRS זכר-נקבה (4 מגעים), 2 מטר</t>
  </si>
  <si>
    <t>כבל 3.5MM TRRS זכר-נקבה (4 מגעים), 3 מטר</t>
  </si>
  <si>
    <t>כבל 3.5MM TRRS זכר-נקבה (4 מגעים), 5 מטר</t>
  </si>
  <si>
    <t>כבל 3.5MM TRRS זכר-נקבה (4 מגעים), 10 מטר</t>
  </si>
  <si>
    <t>כבל RCA קואקס S/PDIF באורך 1.8 מטר</t>
  </si>
  <si>
    <t>כבל RCA קואקס S/PDIF באורך 20 מטר</t>
  </si>
  <si>
    <t>כבל RCA קואקס S/PDIF מקצועי באורך 1 מטר</t>
  </si>
  <si>
    <t>כבל RCA קואקס S/PDIF מקצועי באורך 1.8 מ'</t>
  </si>
  <si>
    <t>כבל RCA קואקס S/PDIF מקצועי באורך 3 מטר</t>
  </si>
  <si>
    <t>כבל RCA קואקס S/PDIF מקצועי באורך 5 מטר</t>
  </si>
  <si>
    <t>כבל RCA קואקס S/PDIF מקצועי באורך 7.5 מ'</t>
  </si>
  <si>
    <t>כבל RCA קואקס S/PDIF מקצועי באורך 10 מטר</t>
  </si>
  <si>
    <t>כבל RCA קואקס S/PDIF מקצועי באורך 15 מטר</t>
  </si>
  <si>
    <t>כבל RCA קואקס S/PDIF מקצועי באורך 20 מטר</t>
  </si>
  <si>
    <t>כבל RCA קואקס S/PDIF מקצועי באורך 30 מטר</t>
  </si>
  <si>
    <t>כבל 2xRCA זכר - זכר מוזהב, 15 מטר</t>
  </si>
  <si>
    <t>כבל 2xRCA-2xRCA ז-ז מסוכך יצוק, 1 מטר</t>
  </si>
  <si>
    <t>כבל 2xRCA-2xRCA ז-ז מסוכך יצוק, 1.8 מטר</t>
  </si>
  <si>
    <t>כבל 2xRCA-2xRCA ז-ז מסוכך יצוק, 3 מטר</t>
  </si>
  <si>
    <t>כבל 2xRCA-2xRCA ז-ז מסוכך יצוק, 15 מטר</t>
  </si>
  <si>
    <t>כבל אודיו 2xRCA ז-ז, אורך 1 מ' TopX</t>
  </si>
  <si>
    <t>כבל אודיו 2xRCA ז-ז, אורך 1.8 מ' TopX</t>
  </si>
  <si>
    <t>כבל אודיו 2xRCA ז-ז, אורך 3 מ' TopX</t>
  </si>
  <si>
    <t>כבל אודיו 2xRCA ז-ז, אורך 5 מ' TopX</t>
  </si>
  <si>
    <t>כבל אודיו 2xRCA ז-ז, אורך 10 מ' TopX</t>
  </si>
  <si>
    <t>כבל אודיו 2xRCA ז-ז, אורך 15 מ' TopX</t>
  </si>
  <si>
    <t>כבל 3xRCA זכר - זכר 1.8 מטר אקונומי</t>
  </si>
  <si>
    <t>כבל 3xRCA זכר - זכר 3 מטר אקונומי</t>
  </si>
  <si>
    <t>כבל 3xRCA-3xRCA ז-ז מסוכך יצוק, 15 מטר</t>
  </si>
  <si>
    <t>כבל 3xRCA-3xRCA ז-ז מסוכך יצוק, 20 מטר</t>
  </si>
  <si>
    <t>כבל DB9 זכר - PL3.5MM זכר ל-CONTROL4 באורך 1.8מ</t>
  </si>
  <si>
    <t>כבל רמקול עגול 100% נחושת 2*18 תוף 100מ לבן (מחיר למטר)</t>
  </si>
  <si>
    <t>כבל רמקול עגול 100% נחושת 2*16 תוף 100מ לבן (מחיר למטר)</t>
  </si>
  <si>
    <t>כבל רמקול עגול 100% נחושת 2*16 קרטון 150מ לבן (מחיר למטר)</t>
  </si>
  <si>
    <t>כבל רמקול עגול 100% נחושת 2*14 קרטון 150מ לבן (מחיר למטר)</t>
  </si>
  <si>
    <t>כבל רמקול עגול 100% נחושת 2*16 קרטון 150מ שחור (מחיר למטר)</t>
  </si>
  <si>
    <t>כבל רמקול עגול 100% נחושת 2*14 קרטון 150מ שחור (מחיר למטר)</t>
  </si>
  <si>
    <t>כבל רמקול עגול 100% נחושת 2*14 קרטון 150מ שחור (OUTDOOR)</t>
  </si>
  <si>
    <t>כבל רמקול 30% נחושת 2*0.75, תוף 100מ (מחיר למטר)</t>
  </si>
  <si>
    <t>כבל רמקול 30% נחושת 2*1.5 תוף 100מ (מחיר למטר)</t>
  </si>
  <si>
    <t>כבל RG59+מתח מסוכך שחור CCS בתוף 100מ'</t>
  </si>
  <si>
    <t>כבל RG6 מסוכך, בתוף 100 מטר</t>
  </si>
  <si>
    <t>מתאם HDMI נקבה - נקבה מוזהב לפאנל</t>
  </si>
  <si>
    <t>מתאם 3.5 סטריאו נקבה - נקבה לפאנל</t>
  </si>
  <si>
    <t>מתאם BNC נקבה-נקבה לשסי, איכותי מנחושת</t>
  </si>
  <si>
    <t>מתאם HDMI נקבה-נקבה לקיסטון</t>
  </si>
  <si>
    <t>כבל גמיש HDMI נקבה לנקבה על קיסטון, 0.1מ</t>
  </si>
  <si>
    <t>מתאם USB2.0 נקבה-נקבה לקיסטון</t>
  </si>
  <si>
    <t>מתאם USB3.0 נקבה-נקבה לקיסטון</t>
  </si>
  <si>
    <t>כבל גמיש USB3.0 נקבה לנקבת קיסטון, 0.1מ</t>
  </si>
  <si>
    <t>מתאם USB3.1 TYPE C נקבה-נקבה לקיסטון</t>
  </si>
  <si>
    <t>מתאם 3.5 סטריאו נקבה-נקבה לקיסטון</t>
  </si>
  <si>
    <t>מתאם RCA צהוב נקבה-נקבה לקיסטון</t>
  </si>
  <si>
    <t>מתאם RCA אדום נקבה-נקבה לקיסטון</t>
  </si>
  <si>
    <t>מתאם RCA לבן נקבה-נקבה לקיסטון</t>
  </si>
  <si>
    <t>מתאם גוויס לשקע קיסטון ריק (צבע לבן)</t>
  </si>
  <si>
    <t>מתאם להרכבת חיבור אופטי LC כפול או SC בודד בשקע קיסטון, לבן</t>
  </si>
  <si>
    <t>מתאם גוויס לשקע VGA</t>
  </si>
  <si>
    <t>כיסוי ריק לשקע גוויס (דמי גוויס)</t>
  </si>
  <si>
    <t>מתאם ביטיצ'ינו (לונה) לשקע קיסטון ריק</t>
  </si>
  <si>
    <t>מתאם 6.35 סטריאו נקבה - 3.5 סטריאו זכר</t>
  </si>
  <si>
    <t>מתאם 6.35 סט' נקבה - 3.5 סט' זכר, מתכתי</t>
  </si>
  <si>
    <t>מתאם 6.35 מונו זכר - 3.5 מונו נקבה</t>
  </si>
  <si>
    <t>מתאם 6.35 סטריאו זכר - 3.5 סטריאו נקבה</t>
  </si>
  <si>
    <t>מתאם 6.35 סט' זכר - 3.5 סט' נקבה, מתכתי</t>
  </si>
  <si>
    <t>מתאם 3.5 סטריאו זכר - 2xRCA נקבה</t>
  </si>
  <si>
    <t>מתאם 3.5 סטריאו זכר - פעמיים 3.5 סטריאו</t>
  </si>
  <si>
    <t>מפצל אוזניות ל-5 יציאות + כבל, ללא הגברה</t>
  </si>
  <si>
    <t>מתאם 2.5 סטריאו זכר - 3.5 סטריאו נקבה</t>
  </si>
  <si>
    <t>מתאם RCA נקבה - 6.35 מונו זכר</t>
  </si>
  <si>
    <t>מתאם RCA נקבה - 6.35 מונו זכר, מתכתי</t>
  </si>
  <si>
    <t>מתאם 2.5 סטריאו נקבה - 3.5 סטריאו זכר</t>
  </si>
  <si>
    <t>מתאם מתכתי 3.5 סטריאו נקבה - 3.5 סטריאו</t>
  </si>
  <si>
    <t>מתאם PL3.5 סטריאו זוויתי 90 מעלות</t>
  </si>
  <si>
    <t>מתאם RCA זוויתי - שחור</t>
  </si>
  <si>
    <t>מתאם RCA זוויתי מוזהב - אדום</t>
  </si>
  <si>
    <t>מתאם RCA נקבה - 2xRCA נקבה</t>
  </si>
  <si>
    <t>מתאם RCA נקבה - RCA נקבה</t>
  </si>
  <si>
    <t>מתאם RCA נקבה - RCA נקבה, מתכתי מוזהב</t>
  </si>
  <si>
    <t>מתאם אוזניות למטוסים PL3.5 סט' - 2 מונו</t>
  </si>
  <si>
    <t>תקע RCA מתכתי מוזהב עם טבעת שחורה</t>
  </si>
  <si>
    <t>תקע RCA מתכתי מוזהב עם טבעת אדומה</t>
  </si>
  <si>
    <t>שקע RCA מתכתי מוזהב לכבל עם טבעת שחורה</t>
  </si>
  <si>
    <t>שקע RCA מתכתי מוזהב לכבל עם טבעת אדומה</t>
  </si>
  <si>
    <t>תקע 6.35 סטריאו מתכתי להלחמה</t>
  </si>
  <si>
    <t>תקע 6.35 מונו מתכתי מוזהב להלחמה</t>
  </si>
  <si>
    <t>תקע 3.5 סטריאו מתכתי מוזהב להלחמה</t>
  </si>
  <si>
    <t>תקע 3.5 מונו פלסטיק להלחמה</t>
  </si>
  <si>
    <t>מתאם 3.5 נקבה - 2.5 זכר, 3 טבעות, מתכתי</t>
  </si>
  <si>
    <t>מתאם 3.5 זכר - 2.5 נקבה, 3 טבעות, מתכתי</t>
  </si>
  <si>
    <t>תקע 3.5MM TRRS להלחמה (4 מגעים)</t>
  </si>
  <si>
    <t>תקע BNC ל-RG59, חיבור בלחיצה</t>
  </si>
  <si>
    <t>שקע BNC ל-RG59, חיבור בלחיצה</t>
  </si>
  <si>
    <t>שקע BNC לשסי, חיבור עם אום</t>
  </si>
  <si>
    <t>מתאם BNC נקבה - נקבה</t>
  </si>
  <si>
    <t>מתאם BNC זכר - 2xBNC נקבה (מתאם T)</t>
  </si>
  <si>
    <t>מתאם BNC נקבה - RCA זכר</t>
  </si>
  <si>
    <t>מתאם RCA נקבה - BNC זכר</t>
  </si>
  <si>
    <t>תקע F מקצועי לחיצה לכבל RG59</t>
  </si>
  <si>
    <t>תקע F מקצועי לחיצה לכבל RG6</t>
  </si>
  <si>
    <t>מתאם F נקבה - נקבה, עם חיבור לשסי</t>
  </si>
  <si>
    <t>מתאם TV זכר - F נקבה</t>
  </si>
  <si>
    <t>תקע זכר D-TYPE עם 9 פינים, להלחמה</t>
  </si>
  <si>
    <t>שקע נקבה D-TYPE עם 9 פינים, להלחמה</t>
  </si>
  <si>
    <t>מכסה פלסטיק שחור ל-DB9 או VGA</t>
  </si>
  <si>
    <t>שקע נקבה D-TYPE עם 25 פינים, להלחמה</t>
  </si>
  <si>
    <t>מכסה פלסטיק שחור ל-DB25</t>
  </si>
  <si>
    <t>מתאם 9 פין נקבה - נקבה</t>
  </si>
  <si>
    <t>מתאם 9 פין זכר זכר</t>
  </si>
  <si>
    <t>מתאם RJ45 נקבה - DB9 נקבה, לחיווט עצמי</t>
  </si>
  <si>
    <t>מתאם RJ45 נקבה - DB9 זכר, לחיווט עצמי</t>
  </si>
  <si>
    <t>תקע VGA, להלחמה    (HD15)</t>
  </si>
  <si>
    <t>מתאם VGA נקבה - נקבה</t>
  </si>
  <si>
    <t>מתאם VGA זכר - זכר</t>
  </si>
  <si>
    <t>מתאם VGA זכר - נקבה</t>
  </si>
  <si>
    <t>מתאם VGA זכר - נקבה זוויתי ב-90 מעלות</t>
  </si>
  <si>
    <t>מתאם VGA זכר - DVI נקבה</t>
  </si>
  <si>
    <t>מתאם VGA נקבה - DVI זכר</t>
  </si>
  <si>
    <t>מתאם VGA נקבה - DVI-D 24+1 זכר</t>
  </si>
  <si>
    <t>מתאם HDMI זכר - DVI נקבה, מוזהב</t>
  </si>
  <si>
    <t>מתאם HDMI נקבה - DVI זכר, מוזהב</t>
  </si>
  <si>
    <t>מתאם HDMI נקבה - נקבה מוזהב</t>
  </si>
  <si>
    <t>מתאם DVI נקבה - נקבה</t>
  </si>
  <si>
    <t>מתאם DVI זוויתי זכר-נקבה ב-90 מעלות</t>
  </si>
  <si>
    <t>מתאם DVI מ-24+5 נקבה ל-24+1 זכר</t>
  </si>
  <si>
    <t>מתאם זוויתי HDMI ב-90 מעלות למטה</t>
  </si>
  <si>
    <t>מתאם זוויתי HDMI ב-90 מעלות למטה (קצר)</t>
  </si>
  <si>
    <t>מתאם זוויתי HDMI ב-90 מעלות למעלה</t>
  </si>
  <si>
    <t>מתאם HDMI זוויתי עם סיבוב אופקי+אנכי</t>
  </si>
  <si>
    <t>מתאם HDMI נקבה - מיני HDMI זכר, מוזהב</t>
  </si>
  <si>
    <t>מתאם HDMI זכר - מיני HDMI נקבה, מוזהב</t>
  </si>
  <si>
    <t>מתאם MICRO HDMI זכר - HDMI נקבה</t>
  </si>
  <si>
    <t>מתאם HDMI זכר - מיקרו HDMI נקבה, מוזהב</t>
  </si>
  <si>
    <t>מזרק מתח 5 וולט לחיבור HDMI</t>
  </si>
  <si>
    <t>תקע RJ45 CAT5e לא מסוכך (8P8C)</t>
  </si>
  <si>
    <t>תקע RJ45 CAT5e/CAT6 מסוכך</t>
  </si>
  <si>
    <t>תקע RJ45 UTP CAT5e דגם PASS THROUGH</t>
  </si>
  <si>
    <t>תקע RJ45 UTP CAT6 דגם PASS THROUGH</t>
  </si>
  <si>
    <t>תקע RJ45 FTP CAT5e דגם PASS THROUGH</t>
  </si>
  <si>
    <t>תקע RJ45 FTP CAT6 דגם PASS THROUGH</t>
  </si>
  <si>
    <t>תקע RJ45 CAT6 מסוכך עד 24AWG, מבנה מדורג</t>
  </si>
  <si>
    <t>תקע RJ45 CAT6 לא מסוכך 24AWG, מבנה מדורג</t>
  </si>
  <si>
    <t>תקע RJ45 CAT6 מסוכך מבנה מדורג + אינסרט</t>
  </si>
  <si>
    <t>תקע RJ45 CAT7/23AWG מסוכך + אינסרט (לקוטר 1.3 מ"מ)</t>
  </si>
  <si>
    <t>תקע RJ45 CAT7/23AWG מסוכך +אינסרט (תואם טלדור, קוטר 1.5 מ"מ)</t>
  </si>
  <si>
    <t>גומי אפור BOOT לקונקטור RJ45 ל-CAT5e/6 קוטר 6 מ"מ</t>
  </si>
  <si>
    <t>גומי אפור BOOT לקונקטור RJ45 ל-CAT6 קוטר 6.5 מ"מ</t>
  </si>
  <si>
    <t>גומי BOOT אפור לקונקטור RJ45 לכבל CAT7 קוטר 7.5 מ"מ</t>
  </si>
  <si>
    <t>תקע 4P4C לשפופרת לא מסוכך (RJ9/10/22)</t>
  </si>
  <si>
    <t>תקע 6P4C לא מסוכך (RJ11)</t>
  </si>
  <si>
    <t>תקע 6P6C לא מסוכך (RJ12)</t>
  </si>
  <si>
    <t>תקע בזק 4 פינים (בריטי BT431A)</t>
  </si>
  <si>
    <t>מתאם RJ45 CAT5e נקבה-נקבה</t>
  </si>
  <si>
    <t>מפצל RJ45 נקבה ל-2 נקבות RJ45</t>
  </si>
  <si>
    <t>מתאם RJ45 CAT6 נקבה-נקבה מסוכך לקיסטון</t>
  </si>
  <si>
    <t>מתאם RJ45 CAT6a נקבה-נקבה מסוכך לקיסטון תואם גוויס</t>
  </si>
  <si>
    <t>קיסטון CAT5e RJ45 מסוכך (קרונה)</t>
  </si>
  <si>
    <t>תקע RJ45 CAT6a/CAT7 מסוכך TOOLLES</t>
  </si>
  <si>
    <t>תקע DC 5.5/2.1 + כבל 2 גידים 30 ס"מ</t>
  </si>
  <si>
    <t>שקע DC 5.5/2.1 + כבל 2 גידים 30 ס"מ</t>
  </si>
  <si>
    <t>כבל מתאם DC מ-5.5/2.1 נקבה ל-2.5/0.7 זכר</t>
  </si>
  <si>
    <t>כבל מתאם DC מ-5.5/2.1 נקבה ל-4.0/1.7 (סוני) זכר</t>
  </si>
  <si>
    <t>כבל מתאם DC מ-5.5/2.1 נקבה ל-4.8/1.7 זכר</t>
  </si>
  <si>
    <t>כבל מתאם DC מ-5.5/2.1 נקבה ל3.5/1.35 זכר</t>
  </si>
  <si>
    <t>כבל מתאם DC מ-5.5/2.1 נקבה ל-5.5/2.5 זכר</t>
  </si>
  <si>
    <t>כבל USB זכר - DC 5.5/2.1 באורך 0.5 מטר</t>
  </si>
  <si>
    <t>כבל USB זכר - DC 5.5/2.1 באורך 1.8מ'</t>
  </si>
  <si>
    <t>כבל USB זכר - DC 3.5/1.35 זכר 1.8 מטר</t>
  </si>
  <si>
    <t>כבל USB C זכר - DC 5.5/2.1 באורך 1.8 מטר</t>
  </si>
  <si>
    <t>מפצל DC 5.5/2.1 מ-1 ל-4 בכבל קצר</t>
  </si>
  <si>
    <t>קופסא עמוקה מעל הקיר + שקע קיסטון ריק</t>
  </si>
  <si>
    <t>קופסא עמוקה מעל הקיר + 2 שקעי קיסטון ריק</t>
  </si>
  <si>
    <t>קופסא עמוקה מעל הקיר + 2 שקעי קיסטון ריק בזווית 45 מעלות</t>
  </si>
  <si>
    <t>קופסא על הקיר + 2 שקעים ריקים לחיבור אופטי SC או LC כפול</t>
  </si>
  <si>
    <t>פנל 24 פורטים CAT5e לא מסוכך 1U + קונקטורים, ללא מגש</t>
  </si>
  <si>
    <t>פנל תקשורת 1U 24P ללא קונקטורים לCAT6/6a (עם מגש מובנה)</t>
  </si>
  <si>
    <t>פנל אופטי 1U ל-24xSC בודד או 24xLC כפול</t>
  </si>
  <si>
    <t>פנל אופטי 1U ל-12xSC בודד או 12xLC כפול</t>
  </si>
  <si>
    <t>פנל אופטי 1U ל-24 מתאמים עגולים ST/FC</t>
  </si>
  <si>
    <t>פנל אופטי 1U ל-12 מתאמים עגולים ST/FC</t>
  </si>
  <si>
    <t>פנל אופטי 1U ל-24xSC כפול או 24xLC קוואד</t>
  </si>
  <si>
    <t>פנל אופטי 1U ל-12xSC כפול או 12xLC קוואד</t>
  </si>
  <si>
    <t>שסתום גומי לחור אחורי של פאנלים PPN5001...6</t>
  </si>
  <si>
    <t>פנל אופטי מתכתי לפס דין ל-6xSC כפול או 6xLC קוואד</t>
  </si>
  <si>
    <t>פנל אופטי מתכתי לפס דין ל-6xSC בודד או 6xLC כפול</t>
  </si>
  <si>
    <t>פנל שיערות 1U לארון ''19 ללא מגש</t>
  </si>
  <si>
    <t>פנל טבעות 1U לארון ''19 עם 5 טבעות לסידור כבלים</t>
  </si>
  <si>
    <t>פס שקעים ישראלי N6 לארון תקשורת 1U + מאמ"ת + כבל 3מ ישראלי</t>
  </si>
  <si>
    <t>פס שקעים ישראלי N9 לארון תקשורת 1U + כבל 3מ ישראלי</t>
  </si>
  <si>
    <t>סט בורג+אום+שייבה</t>
  </si>
  <si>
    <t>אום כלוב עם בורג M5 ושייבה לפנל ארון</t>
  </si>
  <si>
    <t>צבת לחיצה + חותך חוטים לתקע RJ45 מדגמי PASS THROUGH</t>
  </si>
  <si>
    <t>להבי חיתוך ספייר ל-CMP-MODCRIMPL3</t>
  </si>
  <si>
    <t>צבת לחיצה מתכתי לתקע RJ45 CAT7 דגמים ISDN-0031/0027</t>
  </si>
  <si>
    <t>מגלף כבלי רשת UTP/STP/FTP</t>
  </si>
  <si>
    <t>כלי נועץ קרונה</t>
  </si>
  <si>
    <t>כלי להרכבה והסרה של אום כלוב לארון תקשורת</t>
  </si>
  <si>
    <t>לוחץ F COMPRESSION לכבל קואקסיאלי RG59/6</t>
  </si>
  <si>
    <t>מגלף כבל קואקסיאלי RG58/59</t>
  </si>
  <si>
    <t>תרסיס אוויר דחוס 400 מ"ל לניקוי אבק</t>
  </si>
  <si>
    <t>משחת קירור 1 גרם במזרק (אפור)</t>
  </si>
  <si>
    <t>משחת קירור 30 גרם במזרק (אפור)</t>
  </si>
  <si>
    <t>טסטר בסיסי לכבלים RJ45/RJ11/COAX</t>
  </si>
  <si>
    <t>טסטר לכבלים RJ45/RJ11/USB/COAX</t>
  </si>
  <si>
    <t>טסטר בסיסי לכבלים RJ45/RJ11 + בודק POE</t>
  </si>
  <si>
    <t>צלצלן לזיהוי קווים + בודק כבלים</t>
  </si>
  <si>
    <t>צלצלן + בודק כבלים עם תצוגת LCD</t>
  </si>
  <si>
    <t>צלצלן ובודק כבלים עם LCD ו-8 יחידות קצה</t>
  </si>
  <si>
    <t>צלצלן + בודק כבלים עם תצוגת LCD טייואני GOLDTOOL</t>
  </si>
  <si>
    <t>כבל נעילה למחשב נייד עם מפתח 1.8M איכותי</t>
  </si>
  <si>
    <t>מאוורר 12V למארז, 3 חוטים, 40mm</t>
  </si>
  <si>
    <t>מאוורר 12V למארז, 3 חוטים, 60mm</t>
  </si>
  <si>
    <t>מאוורר 12V למארז, 3 חוטים, 80mm</t>
  </si>
  <si>
    <t>מאוורר 12V למארז, 3 חוטים, 92mm</t>
  </si>
  <si>
    <t>מאוורר 12V למארז, 3 חוטים, 120mm</t>
  </si>
  <si>
    <t>ספק כוח 220V ל-5V 2A, תקע 5.5/2.1-2.5</t>
  </si>
  <si>
    <t>ספק כוח 220V ל-5V 2A, תקע 3.5/1.35</t>
  </si>
  <si>
    <t>ספק כוח 220V ל-5V 3A, תקע 5.5/2.1-2.5</t>
  </si>
  <si>
    <t>ספק כוח 220V ל-12V 2A, תקע 5.5/2.1</t>
  </si>
  <si>
    <t>ספק כוח שולחני 220V ל-12V10A +כבל קומקום</t>
  </si>
  <si>
    <t>מזרק POE ג'יגה 30W דגם ADV-INJ30G</t>
  </si>
  <si>
    <t>אל-פסק ADVICE AIN650-3 UPS USB</t>
  </si>
  <si>
    <t>9518442721250</t>
  </si>
  <si>
    <t>9518442727221</t>
  </si>
  <si>
    <t>9518442719578</t>
  </si>
  <si>
    <t>9518442719486</t>
  </si>
  <si>
    <t>9518442721472</t>
  </si>
  <si>
    <t>9518442719523</t>
  </si>
  <si>
    <t>9518442737220</t>
  </si>
  <si>
    <t>9518442719530</t>
  </si>
  <si>
    <t>9518442719493</t>
  </si>
  <si>
    <t>9518442734663</t>
  </si>
  <si>
    <t>9518442726873</t>
  </si>
  <si>
    <t>9518442719547</t>
  </si>
  <si>
    <t>9518442719509</t>
  </si>
  <si>
    <t>9518442719516</t>
  </si>
  <si>
    <t>9518442722196</t>
  </si>
  <si>
    <t>9518442721267</t>
  </si>
  <si>
    <t>9518442722202</t>
  </si>
  <si>
    <t>9518442726866</t>
  </si>
  <si>
    <t>9518442735660</t>
  </si>
  <si>
    <t>חסר</t>
  </si>
  <si>
    <t>9518442735585</t>
  </si>
  <si>
    <t>9518442735615</t>
  </si>
  <si>
    <t>9518442735622</t>
  </si>
  <si>
    <t>9518442735639</t>
  </si>
  <si>
    <t>9518442735646</t>
  </si>
  <si>
    <t>9518442735653</t>
  </si>
  <si>
    <t>9518442735677</t>
  </si>
  <si>
    <t>9518442731426</t>
  </si>
  <si>
    <t>9518442727016</t>
  </si>
  <si>
    <t>9518442725715</t>
  </si>
  <si>
    <t>9518442727023</t>
  </si>
  <si>
    <t>9518442734502</t>
  </si>
  <si>
    <t>9518442727030</t>
  </si>
  <si>
    <t>9518442725784</t>
  </si>
  <si>
    <t>9518442725852</t>
  </si>
  <si>
    <t>9518442731433</t>
  </si>
  <si>
    <t>9518442727047</t>
  </si>
  <si>
    <t>9518442725722</t>
  </si>
  <si>
    <t>9518442727054</t>
  </si>
  <si>
    <t>9518442734519</t>
  </si>
  <si>
    <t>9518442727061</t>
  </si>
  <si>
    <t>9518442725791</t>
  </si>
  <si>
    <t>9518442725869</t>
  </si>
  <si>
    <t>9518442731464</t>
  </si>
  <si>
    <t>9518442727009</t>
  </si>
  <si>
    <t>9518442725739</t>
  </si>
  <si>
    <t>9518442727108</t>
  </si>
  <si>
    <t>9518442734526</t>
  </si>
  <si>
    <t>9518442727115</t>
  </si>
  <si>
    <t>9518442725807</t>
  </si>
  <si>
    <t>9518442725876</t>
  </si>
  <si>
    <t>9518442731440</t>
  </si>
  <si>
    <t>9518442727078</t>
  </si>
  <si>
    <t>9518442725746</t>
  </si>
  <si>
    <t>9518442727085</t>
  </si>
  <si>
    <t>9518442734533</t>
  </si>
  <si>
    <t>9518442727092</t>
  </si>
  <si>
    <t>9518442725814</t>
  </si>
  <si>
    <t>9518442725883</t>
  </si>
  <si>
    <t>9518442731471</t>
  </si>
  <si>
    <t>9518442727122</t>
  </si>
  <si>
    <t>9518442725753</t>
  </si>
  <si>
    <t>9518442727139</t>
  </si>
  <si>
    <t>9518442734540</t>
  </si>
  <si>
    <t>9518442727146</t>
  </si>
  <si>
    <t>9518442725821</t>
  </si>
  <si>
    <t>9518442725890</t>
  </si>
  <si>
    <t>9518442731488</t>
  </si>
  <si>
    <t>9518442727153</t>
  </si>
  <si>
    <t>9518442725760</t>
  </si>
  <si>
    <t>9518442727160</t>
  </si>
  <si>
    <t>9518442734557</t>
  </si>
  <si>
    <t>9518442727177</t>
  </si>
  <si>
    <t>9518442725838</t>
  </si>
  <si>
    <t>9518442725906</t>
  </si>
  <si>
    <t>9518442731495</t>
  </si>
  <si>
    <t>9518442727184</t>
  </si>
  <si>
    <t>9518442725777</t>
  </si>
  <si>
    <t>9518442727191</t>
  </si>
  <si>
    <t>9518442734564</t>
  </si>
  <si>
    <t>9518442727207</t>
  </si>
  <si>
    <t>9518442725845</t>
  </si>
  <si>
    <t>9518442725913</t>
  </si>
  <si>
    <t>9518442734632</t>
  </si>
  <si>
    <t>9518442734588</t>
  </si>
  <si>
    <t>9518442734595</t>
  </si>
  <si>
    <t>9518442734601</t>
  </si>
  <si>
    <t>9518442734656</t>
  </si>
  <si>
    <t>9518442734618</t>
  </si>
  <si>
    <t>9518442734625</t>
  </si>
  <si>
    <t>9518442734649</t>
  </si>
  <si>
    <t>9518442731457</t>
  </si>
  <si>
    <t>9518442726941</t>
  </si>
  <si>
    <t>9518442726958</t>
  </si>
  <si>
    <t>9518442726965</t>
  </si>
  <si>
    <t>9518442734571</t>
  </si>
  <si>
    <t>9518442726972</t>
  </si>
  <si>
    <t>9518442726989</t>
  </si>
  <si>
    <t>9518442726996</t>
  </si>
  <si>
    <t>9518442737763</t>
  </si>
  <si>
    <t>9518442737701</t>
  </si>
  <si>
    <t>9518442737718</t>
  </si>
  <si>
    <t>9518442737725</t>
  </si>
  <si>
    <t>9518442737732</t>
  </si>
  <si>
    <t>9518442734496</t>
  </si>
  <si>
    <t>9518442734489</t>
  </si>
  <si>
    <t>9518442737770</t>
  </si>
  <si>
    <t>9518442731518</t>
  </si>
  <si>
    <t>9518442727238</t>
  </si>
  <si>
    <t>9518442727245</t>
  </si>
  <si>
    <t>9518442727252</t>
  </si>
  <si>
    <t>9518442727269</t>
  </si>
  <si>
    <t>9518442727276</t>
  </si>
  <si>
    <t>9518442727283</t>
  </si>
  <si>
    <t>9518442727290</t>
  </si>
  <si>
    <t>9518442727306</t>
  </si>
  <si>
    <t>9518442727313</t>
  </si>
  <si>
    <t>9518442735264</t>
  </si>
  <si>
    <t>9518442731259</t>
  </si>
  <si>
    <t>9518442731266</t>
  </si>
  <si>
    <t>9518442731273</t>
  </si>
  <si>
    <t>9518442731280</t>
  </si>
  <si>
    <t>9518442731297</t>
  </si>
  <si>
    <t>9518442731303</t>
  </si>
  <si>
    <t>9518442731310</t>
  </si>
  <si>
    <t>9518442731327</t>
  </si>
  <si>
    <t>9518442731334</t>
  </si>
  <si>
    <t>9518442731341</t>
  </si>
  <si>
    <t>9518442731358</t>
  </si>
  <si>
    <t>9518442731365</t>
  </si>
  <si>
    <t>9518442731372</t>
  </si>
  <si>
    <t>9518442731389</t>
  </si>
  <si>
    <t>9518442731396</t>
  </si>
  <si>
    <t>9518442731402</t>
  </si>
  <si>
    <t>9518442731419</t>
  </si>
  <si>
    <t>9518442723971</t>
  </si>
  <si>
    <t>9518442737824</t>
  </si>
  <si>
    <t>9518442737374</t>
  </si>
  <si>
    <t>9518422710656</t>
  </si>
  <si>
    <t>9518422711059</t>
  </si>
  <si>
    <t>9518442714689</t>
  </si>
  <si>
    <t>9518442719813</t>
  </si>
  <si>
    <t>9518422711066</t>
  </si>
  <si>
    <t>9518442737121</t>
  </si>
  <si>
    <t>9518422711073</t>
  </si>
  <si>
    <t>9518422711080</t>
  </si>
  <si>
    <t>9518442731501</t>
  </si>
  <si>
    <t>9518422711097</t>
  </si>
  <si>
    <t>9518442714696</t>
  </si>
  <si>
    <t>9518442733208</t>
  </si>
  <si>
    <t>9518442717963</t>
  </si>
  <si>
    <t>9518442714702</t>
  </si>
  <si>
    <t>9518422711103</t>
  </si>
  <si>
    <t>9518442723995</t>
  </si>
  <si>
    <t>9518442736674</t>
  </si>
  <si>
    <t>9518442736681</t>
  </si>
  <si>
    <t>9518442736698</t>
  </si>
  <si>
    <t>9518442736704</t>
  </si>
  <si>
    <t>9518442736711</t>
  </si>
  <si>
    <t>9518442736728</t>
  </si>
  <si>
    <t>9518442736735</t>
  </si>
  <si>
    <t>9518442737138</t>
  </si>
  <si>
    <t>9518442730566</t>
  </si>
  <si>
    <t>9518442730573</t>
  </si>
  <si>
    <t>9518442730580</t>
  </si>
  <si>
    <t>9518442730597</t>
  </si>
  <si>
    <t>9518442730603</t>
  </si>
  <si>
    <t>9518442730559</t>
  </si>
  <si>
    <t>9518442730610</t>
  </si>
  <si>
    <t>9518442737145</t>
  </si>
  <si>
    <t>9518442730634</t>
  </si>
  <si>
    <t>9518442730641</t>
  </si>
  <si>
    <t>9518442730658</t>
  </si>
  <si>
    <t>9518442730665</t>
  </si>
  <si>
    <t>9518442730672</t>
  </si>
  <si>
    <t>9518442730627</t>
  </si>
  <si>
    <t>9518442730689</t>
  </si>
  <si>
    <t>9518442737152</t>
  </si>
  <si>
    <t>9518442730702</t>
  </si>
  <si>
    <t>9518442730719</t>
  </si>
  <si>
    <t>9518442730726</t>
  </si>
  <si>
    <t>9518442730733</t>
  </si>
  <si>
    <t>9518442730740</t>
  </si>
  <si>
    <t>9518442730696</t>
  </si>
  <si>
    <t>9518442730757</t>
  </si>
  <si>
    <t>9518442737183</t>
  </si>
  <si>
    <t>9518442730771</t>
  </si>
  <si>
    <t>9518442730788</t>
  </si>
  <si>
    <t>9518442730795</t>
  </si>
  <si>
    <t>9518442730801</t>
  </si>
  <si>
    <t>9518442730818</t>
  </si>
  <si>
    <t>9518442730764</t>
  </si>
  <si>
    <t>9518442730825</t>
  </si>
  <si>
    <t>9518442737169</t>
  </si>
  <si>
    <t>9518442730849</t>
  </si>
  <si>
    <t>9518442730856</t>
  </si>
  <si>
    <t>9518442730863</t>
  </si>
  <si>
    <t>9518442730870</t>
  </si>
  <si>
    <t>9518442730887</t>
  </si>
  <si>
    <t>9518442730832</t>
  </si>
  <si>
    <t>9518442730894</t>
  </si>
  <si>
    <t>9518442737190</t>
  </si>
  <si>
    <t>9518442730917</t>
  </si>
  <si>
    <t>9518442730924</t>
  </si>
  <si>
    <t>9518442730931</t>
  </si>
  <si>
    <t>9518442730948</t>
  </si>
  <si>
    <t>9518442730955</t>
  </si>
  <si>
    <t>9518442730900</t>
  </si>
  <si>
    <t>9518442730962</t>
  </si>
  <si>
    <t>9518442737206</t>
  </si>
  <si>
    <t>9518442730986</t>
  </si>
  <si>
    <t>9518442730993</t>
  </si>
  <si>
    <t>9518442731006</t>
  </si>
  <si>
    <t>9518442731013</t>
  </si>
  <si>
    <t>9518442731020</t>
  </si>
  <si>
    <t>9518442730979</t>
  </si>
  <si>
    <t>9518442731037</t>
  </si>
  <si>
    <t>9518442737213</t>
  </si>
  <si>
    <t>9518442731051</t>
  </si>
  <si>
    <t>9518442731068</t>
  </si>
  <si>
    <t>9518442731075</t>
  </si>
  <si>
    <t>9518442731082</t>
  </si>
  <si>
    <t>9518442731099</t>
  </si>
  <si>
    <t>9518442731044</t>
  </si>
  <si>
    <t>9518442731105</t>
  </si>
  <si>
    <t>9518442737176</t>
  </si>
  <si>
    <t>9518442723933</t>
  </si>
  <si>
    <t>9518442729102</t>
  </si>
  <si>
    <t>9518442714627</t>
  </si>
  <si>
    <t>9518442723940</t>
  </si>
  <si>
    <t>9518442714634</t>
  </si>
  <si>
    <t>9518422710960</t>
  </si>
  <si>
    <t>9518442714641</t>
  </si>
  <si>
    <t>9518422710977</t>
  </si>
  <si>
    <t>9518422710984</t>
  </si>
  <si>
    <t>9518422710991</t>
  </si>
  <si>
    <t>9518442726477</t>
  </si>
  <si>
    <t>9518422711004</t>
  </si>
  <si>
    <t>9518422711011</t>
  </si>
  <si>
    <t>9518422711028</t>
  </si>
  <si>
    <t>9518442714658</t>
  </si>
  <si>
    <t>9518442714665</t>
  </si>
  <si>
    <t>9518422711035</t>
  </si>
  <si>
    <t>9518422711042</t>
  </si>
  <si>
    <t>9518442725470</t>
  </si>
  <si>
    <t>9518442724282</t>
  </si>
  <si>
    <t>9518442724077</t>
  </si>
  <si>
    <t>9518442724213</t>
  </si>
  <si>
    <t>9518442724145</t>
  </si>
  <si>
    <t>9518442724008</t>
  </si>
  <si>
    <t>9518442724084</t>
  </si>
  <si>
    <t>9518442725500</t>
  </si>
  <si>
    <t>9518442724091</t>
  </si>
  <si>
    <t>9518442724237</t>
  </si>
  <si>
    <t>9518442724169</t>
  </si>
  <si>
    <t>9518442724244</t>
  </si>
  <si>
    <t>9518442724039</t>
  </si>
  <si>
    <t>9518442725517</t>
  </si>
  <si>
    <t>9518442724114</t>
  </si>
  <si>
    <t>9518442724251</t>
  </si>
  <si>
    <t>9518442725524</t>
  </si>
  <si>
    <t>9518442724268</t>
  </si>
  <si>
    <t>9518442724053</t>
  </si>
  <si>
    <t>9518442724411</t>
  </si>
  <si>
    <t>9518442724138</t>
  </si>
  <si>
    <t>9518442724275</t>
  </si>
  <si>
    <t>9518442724206</t>
  </si>
  <si>
    <t>9518442726361</t>
  </si>
  <si>
    <t>9518442726378</t>
  </si>
  <si>
    <t>9518442726385</t>
  </si>
  <si>
    <t>9518442731167</t>
  </si>
  <si>
    <t>9518442731174</t>
  </si>
  <si>
    <t>9518442725456</t>
  </si>
  <si>
    <t>9518442733444</t>
  </si>
  <si>
    <t>9518442733437</t>
  </si>
  <si>
    <t>9518442737671</t>
  </si>
  <si>
    <t>9518442737688</t>
  </si>
  <si>
    <t>9518442737695</t>
  </si>
  <si>
    <t>9518442736452</t>
  </si>
  <si>
    <t>9518442736469</t>
  </si>
  <si>
    <t>9518442720208</t>
  </si>
  <si>
    <t>9518442721878</t>
  </si>
  <si>
    <t>9518442729164</t>
  </si>
  <si>
    <t>9518442728846</t>
  </si>
  <si>
    <t>9518442728853</t>
  </si>
  <si>
    <t>9518442732683</t>
  </si>
  <si>
    <t>9518442728860</t>
  </si>
  <si>
    <t>9518442728877</t>
  </si>
  <si>
    <t>9518442728884</t>
  </si>
  <si>
    <t>9518442732768</t>
  </si>
  <si>
    <t>9518442728891</t>
  </si>
  <si>
    <t>9518442730054</t>
  </si>
  <si>
    <t>9518442730061</t>
  </si>
  <si>
    <t>9518442737886</t>
  </si>
  <si>
    <t>9518442731983</t>
  </si>
  <si>
    <t>9518442735851</t>
  </si>
  <si>
    <t>9518442735868</t>
  </si>
  <si>
    <t>9518442734458</t>
  </si>
  <si>
    <t>9518442728907</t>
  </si>
  <si>
    <t>9518442732690</t>
  </si>
  <si>
    <t>9518442728914</t>
  </si>
  <si>
    <t>9518442728921</t>
  </si>
  <si>
    <t>9518442728938</t>
  </si>
  <si>
    <t>9518442732775</t>
  </si>
  <si>
    <t>9518442728945</t>
  </si>
  <si>
    <t>9518442730078</t>
  </si>
  <si>
    <t>9518442730085</t>
  </si>
  <si>
    <t>9518442732003</t>
  </si>
  <si>
    <t>9518442728952</t>
  </si>
  <si>
    <t>9518442732706</t>
  </si>
  <si>
    <t>9518442728969</t>
  </si>
  <si>
    <t>9518442728976</t>
  </si>
  <si>
    <t>9518442728983</t>
  </si>
  <si>
    <t>9518442730092</t>
  </si>
  <si>
    <t>9518442730108</t>
  </si>
  <si>
    <t>9518442730115</t>
  </si>
  <si>
    <t>9518442728990</t>
  </si>
  <si>
    <t>9518442729003</t>
  </si>
  <si>
    <t>9518442729010</t>
  </si>
  <si>
    <t>9518442730122</t>
  </si>
  <si>
    <t>9518442732027</t>
  </si>
  <si>
    <t>9518442729683</t>
  </si>
  <si>
    <t>9518442732713</t>
  </si>
  <si>
    <t>9518442729690</t>
  </si>
  <si>
    <t>9518442729706</t>
  </si>
  <si>
    <t>9518442730139</t>
  </si>
  <si>
    <t>9518442732782</t>
  </si>
  <si>
    <t>9518442732058</t>
  </si>
  <si>
    <t>9518442732065</t>
  </si>
  <si>
    <t>9518442728198</t>
  </si>
  <si>
    <t>9518442728204</t>
  </si>
  <si>
    <t>9518442728211</t>
  </si>
  <si>
    <t>9518442728280</t>
  </si>
  <si>
    <t>9518442728297</t>
  </si>
  <si>
    <t>9518442728303</t>
  </si>
  <si>
    <t>9518442728327</t>
  </si>
  <si>
    <t>9518442728334</t>
  </si>
  <si>
    <t>9518442728341</t>
  </si>
  <si>
    <t>9518442727511</t>
  </si>
  <si>
    <t>9518442727528</t>
  </si>
  <si>
    <t>9518442732645</t>
  </si>
  <si>
    <t>9518442727535</t>
  </si>
  <si>
    <t>9518442727542</t>
  </si>
  <si>
    <t>9518442727559</t>
  </si>
  <si>
    <t>9518442732737</t>
  </si>
  <si>
    <t>9518442727566</t>
  </si>
  <si>
    <t>9518442727573</t>
  </si>
  <si>
    <t>9518442727580</t>
  </si>
  <si>
    <t>9518442737855</t>
  </si>
  <si>
    <t>9518442727597</t>
  </si>
  <si>
    <t>9518442729874</t>
  </si>
  <si>
    <t>9518442727603</t>
  </si>
  <si>
    <t>9518442727610</t>
  </si>
  <si>
    <t>9518442727627</t>
  </si>
  <si>
    <t>9518442727634</t>
  </si>
  <si>
    <t>9518442727641</t>
  </si>
  <si>
    <t>9518442727658</t>
  </si>
  <si>
    <t>9518442732621</t>
  </si>
  <si>
    <t>9518442727719</t>
  </si>
  <si>
    <t>9518442733192</t>
  </si>
  <si>
    <t>9518442727726</t>
  </si>
  <si>
    <t>9518442727733</t>
  </si>
  <si>
    <t>9518442727740</t>
  </si>
  <si>
    <t>9518442733901</t>
  </si>
  <si>
    <t>9518442727757</t>
  </si>
  <si>
    <t>9518442727764</t>
  </si>
  <si>
    <t>9518442727771</t>
  </si>
  <si>
    <t>9518442727788</t>
  </si>
  <si>
    <t>9518442737862</t>
  </si>
  <si>
    <t>9518442737879</t>
  </si>
  <si>
    <t>9518442733932</t>
  </si>
  <si>
    <t>9518442733949</t>
  </si>
  <si>
    <t>9518442733956</t>
  </si>
  <si>
    <t>9518442733963</t>
  </si>
  <si>
    <t>9518442733970</t>
  </si>
  <si>
    <t>9518442733987</t>
  </si>
  <si>
    <t>9518442733994</t>
  </si>
  <si>
    <t>9518442734007</t>
  </si>
  <si>
    <t>9518442734014</t>
  </si>
  <si>
    <t>9518442734021</t>
  </si>
  <si>
    <t>9518442727795</t>
  </si>
  <si>
    <t>9518442727801</t>
  </si>
  <si>
    <t>9518442732652</t>
  </si>
  <si>
    <t>9518442727818</t>
  </si>
  <si>
    <t>9518442727825</t>
  </si>
  <si>
    <t>9518442727832</t>
  </si>
  <si>
    <t>9518442727849</t>
  </si>
  <si>
    <t>9518442727856</t>
  </si>
  <si>
    <t>9518442727863</t>
  </si>
  <si>
    <t>9518442731990</t>
  </si>
  <si>
    <t>9518442727924</t>
  </si>
  <si>
    <t>9518442727931</t>
  </si>
  <si>
    <t>9518442727948</t>
  </si>
  <si>
    <t>9518442727955</t>
  </si>
  <si>
    <t>9518442727962</t>
  </si>
  <si>
    <t>9518442727979</t>
  </si>
  <si>
    <t>9518442727986</t>
  </si>
  <si>
    <t>9518442727993</t>
  </si>
  <si>
    <t>9518442728006</t>
  </si>
  <si>
    <t>9518442728013</t>
  </si>
  <si>
    <t>9518442728020</t>
  </si>
  <si>
    <t>9518442728037</t>
  </si>
  <si>
    <t>9518442728044</t>
  </si>
  <si>
    <t>9518442728082</t>
  </si>
  <si>
    <t>9518442728099</t>
  </si>
  <si>
    <t>9518442728105</t>
  </si>
  <si>
    <t>9518442728112</t>
  </si>
  <si>
    <t>9518442728129</t>
  </si>
  <si>
    <t>9518442728136</t>
  </si>
  <si>
    <t>9518442728143</t>
  </si>
  <si>
    <t>9518442728150</t>
  </si>
  <si>
    <t>9518442728167</t>
  </si>
  <si>
    <t>9518442728174</t>
  </si>
  <si>
    <t>9518442729669</t>
  </si>
  <si>
    <t>9518442732676</t>
  </si>
  <si>
    <t>9518442729461</t>
  </si>
  <si>
    <t>9518442729478</t>
  </si>
  <si>
    <t>9518442729485</t>
  </si>
  <si>
    <t>9518442729454</t>
  </si>
  <si>
    <t>9518442732034</t>
  </si>
  <si>
    <t>9518442732041</t>
  </si>
  <si>
    <t>9518442730207</t>
  </si>
  <si>
    <t>9518442727665</t>
  </si>
  <si>
    <t>9518442727672</t>
  </si>
  <si>
    <t>9518442727689</t>
  </si>
  <si>
    <t>9518442727696</t>
  </si>
  <si>
    <t>9518442727702</t>
  </si>
  <si>
    <t>9518442730214</t>
  </si>
  <si>
    <t>9518442730221</t>
  </si>
  <si>
    <t>9518442727870</t>
  </si>
  <si>
    <t>9518442727887</t>
  </si>
  <si>
    <t>9518442727894</t>
  </si>
  <si>
    <t>9518442727900</t>
  </si>
  <si>
    <t>9518442727917</t>
  </si>
  <si>
    <t>9518442732232</t>
  </si>
  <si>
    <t>9518442732249</t>
  </si>
  <si>
    <t>9518442732256</t>
  </si>
  <si>
    <t>9518442732263</t>
  </si>
  <si>
    <t>9518442732270</t>
  </si>
  <si>
    <t>9518442732287</t>
  </si>
  <si>
    <t>9518442732294</t>
  </si>
  <si>
    <t>9518442732300</t>
  </si>
  <si>
    <t>9518442732317</t>
  </si>
  <si>
    <t>9518442732324</t>
  </si>
  <si>
    <t>9518442732331</t>
  </si>
  <si>
    <t>9518442732348</t>
  </si>
  <si>
    <t>9518442732720</t>
  </si>
  <si>
    <t>9518442732874</t>
  </si>
  <si>
    <t>9518442732904</t>
  </si>
  <si>
    <t>9518442732911</t>
  </si>
  <si>
    <t>9518442732928</t>
  </si>
  <si>
    <t>9518442732935</t>
  </si>
  <si>
    <t>9518442732881</t>
  </si>
  <si>
    <t>9518442732898</t>
  </si>
  <si>
    <t>9518442732942</t>
  </si>
  <si>
    <t>9518442733703</t>
  </si>
  <si>
    <t>9518442732959</t>
  </si>
  <si>
    <t>9518442733710</t>
  </si>
  <si>
    <t>9518442732966</t>
  </si>
  <si>
    <t>9518442729355</t>
  </si>
  <si>
    <t>9518442729324</t>
  </si>
  <si>
    <t>9518442736322</t>
  </si>
  <si>
    <t>9518442733666</t>
  </si>
  <si>
    <t>9518442736421</t>
  </si>
  <si>
    <t>9518442729737</t>
  </si>
  <si>
    <t>9518442729744</t>
  </si>
  <si>
    <t>9518442732836</t>
  </si>
  <si>
    <t>9518442729751</t>
  </si>
  <si>
    <t>9518442733345</t>
  </si>
  <si>
    <t>9518442729768</t>
  </si>
  <si>
    <t>9518442732843</t>
  </si>
  <si>
    <t>9518442737305</t>
  </si>
  <si>
    <t>9518442733109</t>
  </si>
  <si>
    <t>9518442733116</t>
  </si>
  <si>
    <t>9518442730184</t>
  </si>
  <si>
    <t>9518442733352</t>
  </si>
  <si>
    <t>9518442730191</t>
  </si>
  <si>
    <t>9518442732850</t>
  </si>
  <si>
    <t>9518442737299</t>
  </si>
  <si>
    <t>9518442738524</t>
  </si>
  <si>
    <t>9518442732195</t>
  </si>
  <si>
    <t>9518442732201</t>
  </si>
  <si>
    <t>9518442729775</t>
  </si>
  <si>
    <t>9518442733055</t>
  </si>
  <si>
    <t>9518442732218</t>
  </si>
  <si>
    <t>9518442732225</t>
  </si>
  <si>
    <t>9518442738586</t>
  </si>
  <si>
    <t>9518442738593</t>
  </si>
  <si>
    <t>9518442734960</t>
  </si>
  <si>
    <t>9518442730467</t>
  </si>
  <si>
    <t>9518442734977</t>
  </si>
  <si>
    <t>9518442730481</t>
  </si>
  <si>
    <t>9518442735004</t>
  </si>
  <si>
    <t>9518442730474</t>
  </si>
  <si>
    <t>9518442734984</t>
  </si>
  <si>
    <t>9518442730498</t>
  </si>
  <si>
    <t>9518442735011</t>
  </si>
  <si>
    <t>9518442734915</t>
  </si>
  <si>
    <t>9518442734922</t>
  </si>
  <si>
    <t>9518442735110</t>
  </si>
  <si>
    <t>9518442735035</t>
  </si>
  <si>
    <t>9518442735097</t>
  </si>
  <si>
    <t>9518442735066</t>
  </si>
  <si>
    <t>9518442735127</t>
  </si>
  <si>
    <t>9518442735042</t>
  </si>
  <si>
    <t>9518442735103</t>
  </si>
  <si>
    <t>9518442735073</t>
  </si>
  <si>
    <t>9518442735134</t>
  </si>
  <si>
    <t>9518442734946</t>
  </si>
  <si>
    <t>9518442734953</t>
  </si>
  <si>
    <t>9518442735189</t>
  </si>
  <si>
    <t>9518442735240</t>
  </si>
  <si>
    <t>9518442735196</t>
  </si>
  <si>
    <t>9518442735257</t>
  </si>
  <si>
    <t>9518442735165</t>
  </si>
  <si>
    <t>9518442735172</t>
  </si>
  <si>
    <t>9518442736025</t>
  </si>
  <si>
    <t>9518442736032</t>
  </si>
  <si>
    <t>9518442736049</t>
  </si>
  <si>
    <t>9518442736056</t>
  </si>
  <si>
    <t>9518442736063</t>
  </si>
  <si>
    <t>9518442736070</t>
  </si>
  <si>
    <t>9518442735448</t>
  </si>
  <si>
    <t>9518442735431</t>
  </si>
  <si>
    <t>9518442735462</t>
  </si>
  <si>
    <t>9518442735455</t>
  </si>
  <si>
    <t>9518442735493</t>
  </si>
  <si>
    <t>9518442735479</t>
  </si>
  <si>
    <t>9518442737077</t>
  </si>
  <si>
    <t>9518442715846</t>
  </si>
  <si>
    <t>9518442722127</t>
  </si>
  <si>
    <t>9518442733338</t>
  </si>
  <si>
    <t>9518442720192</t>
  </si>
  <si>
    <t>9518442715839</t>
  </si>
  <si>
    <t>9518442717550</t>
  </si>
  <si>
    <t>9518442720161</t>
  </si>
  <si>
    <t>9518442717741</t>
  </si>
  <si>
    <t>9518442718496</t>
  </si>
  <si>
    <t>9518442736292</t>
  </si>
  <si>
    <t>9518442736285</t>
  </si>
  <si>
    <t>9518442735684</t>
  </si>
  <si>
    <t>9518442735691</t>
  </si>
  <si>
    <t>9518442734045</t>
  </si>
  <si>
    <t>9518442733314</t>
  </si>
  <si>
    <t>9518442733321</t>
  </si>
  <si>
    <t>9518442717376</t>
  </si>
  <si>
    <t>9518442725173</t>
  </si>
  <si>
    <t>9518442723483</t>
  </si>
  <si>
    <t>9518442717383</t>
  </si>
  <si>
    <t>9518442738722</t>
  </si>
  <si>
    <t>9518442723490</t>
  </si>
  <si>
    <t>9518442736476</t>
  </si>
  <si>
    <t>9518442711718</t>
  </si>
  <si>
    <t>9518442720130</t>
  </si>
  <si>
    <t>9518442720369</t>
  </si>
  <si>
    <t>9518442728679</t>
  </si>
  <si>
    <t>9518442730368</t>
  </si>
  <si>
    <t>9518442737633</t>
  </si>
  <si>
    <t>8516543112374</t>
  </si>
  <si>
    <t>9518442734779</t>
  </si>
  <si>
    <t>9518442727351</t>
  </si>
  <si>
    <t>9518442737640</t>
  </si>
  <si>
    <t>9518442717819</t>
  </si>
  <si>
    <t>9518442718434</t>
  </si>
  <si>
    <t>9518442728358</t>
  </si>
  <si>
    <t>9518442712456</t>
  </si>
  <si>
    <t>9518422710564</t>
  </si>
  <si>
    <t>9518442712463</t>
  </si>
  <si>
    <t>9518422710571</t>
  </si>
  <si>
    <t>9518442737435</t>
  </si>
  <si>
    <t>8516543112176</t>
  </si>
  <si>
    <t>9518442723407</t>
  </si>
  <si>
    <t>9518442732980</t>
  </si>
  <si>
    <t>9518442737336</t>
  </si>
  <si>
    <t>9518442726637</t>
  </si>
  <si>
    <t>9518442738562</t>
  </si>
  <si>
    <t>8516543112299</t>
  </si>
  <si>
    <t>8516543112473</t>
  </si>
  <si>
    <t>9518442720147</t>
  </si>
  <si>
    <t>9518442720123</t>
  </si>
  <si>
    <t>9518442733048</t>
  </si>
  <si>
    <t>9518442728495</t>
  </si>
  <si>
    <t>9518442735424</t>
  </si>
  <si>
    <t>9518442737985</t>
  </si>
  <si>
    <t>9518442719875</t>
  </si>
  <si>
    <t>9518442718182</t>
  </si>
  <si>
    <t>9518442718823</t>
  </si>
  <si>
    <t>9518442718199</t>
  </si>
  <si>
    <t>9518422710892</t>
  </si>
  <si>
    <t>9518442718311</t>
  </si>
  <si>
    <t>9518442716911</t>
  </si>
  <si>
    <t>9518442737442</t>
  </si>
  <si>
    <t>9518442737459</t>
  </si>
  <si>
    <t>9518442717444</t>
  </si>
  <si>
    <t>9518442718298</t>
  </si>
  <si>
    <t>9518442722097</t>
  </si>
  <si>
    <t>9518442725166</t>
  </si>
  <si>
    <t>9518442718267</t>
  </si>
  <si>
    <t>9518442718274</t>
  </si>
  <si>
    <t>9518442733222</t>
  </si>
  <si>
    <t>9518442733239</t>
  </si>
  <si>
    <t>9518442721274</t>
  </si>
  <si>
    <t>9518442737466</t>
  </si>
  <si>
    <t>9518442737473</t>
  </si>
  <si>
    <t>9518442738210</t>
  </si>
  <si>
    <t>9518442736308</t>
  </si>
  <si>
    <t>9518442736315</t>
  </si>
  <si>
    <t>9518442737497</t>
  </si>
  <si>
    <t>9518442718359</t>
  </si>
  <si>
    <t>9518442718366</t>
  </si>
  <si>
    <t>9518442737480</t>
  </si>
  <si>
    <t>9518442737978</t>
  </si>
  <si>
    <t>9518442737992</t>
  </si>
  <si>
    <t>9518442714306</t>
  </si>
  <si>
    <t>9518442720383</t>
  </si>
  <si>
    <t>9518442737343</t>
  </si>
  <si>
    <t>9518442738005</t>
  </si>
  <si>
    <t>9518442738463</t>
  </si>
  <si>
    <t>9518442734854</t>
  </si>
  <si>
    <t>9518442734878</t>
  </si>
  <si>
    <t>9518442734885</t>
  </si>
  <si>
    <t>9518442734892</t>
  </si>
  <si>
    <t>9518442718380</t>
  </si>
  <si>
    <t>9518442718397</t>
  </si>
  <si>
    <t>9518442732423</t>
  </si>
  <si>
    <t>9518442736490</t>
  </si>
  <si>
    <t>9518442727344</t>
  </si>
  <si>
    <t>9518442725371</t>
  </si>
  <si>
    <t>9518442727405</t>
  </si>
  <si>
    <t>9518442725388</t>
  </si>
  <si>
    <t>9518442725395</t>
  </si>
  <si>
    <t>9518442733581</t>
  </si>
  <si>
    <t>9518442727399</t>
  </si>
  <si>
    <t>9518442725401</t>
  </si>
  <si>
    <t>9518442733598</t>
  </si>
  <si>
    <t>9518442725418</t>
  </si>
  <si>
    <t>9518442725425</t>
  </si>
  <si>
    <t>9518442729584</t>
  </si>
  <si>
    <t>9518442723919</t>
  </si>
  <si>
    <t>9518442720482</t>
  </si>
  <si>
    <t>9518442721540</t>
  </si>
  <si>
    <t>9518442719073</t>
  </si>
  <si>
    <t>9518442720499</t>
  </si>
  <si>
    <t>9518442721557</t>
  </si>
  <si>
    <t>9518442719080</t>
  </si>
  <si>
    <t>9518442720505</t>
  </si>
  <si>
    <t>9518442721564</t>
  </si>
  <si>
    <t>9518442719097</t>
  </si>
  <si>
    <t>9518442737107</t>
  </si>
  <si>
    <t>9518442738364</t>
  </si>
  <si>
    <t>9518442720512</t>
  </si>
  <si>
    <t>9518442721571</t>
  </si>
  <si>
    <t>9518442719103</t>
  </si>
  <si>
    <t>9518442720529</t>
  </si>
  <si>
    <t>9518442721588</t>
  </si>
  <si>
    <t>9518442719110</t>
  </si>
  <si>
    <t>9518442720536</t>
  </si>
  <si>
    <t>9518442721595</t>
  </si>
  <si>
    <t>9518442719127</t>
  </si>
  <si>
    <t>9518442720543</t>
  </si>
  <si>
    <t>9518442721601</t>
  </si>
  <si>
    <t>9518442719134</t>
  </si>
  <si>
    <t>9518442719370</t>
  </si>
  <si>
    <t>9518442720550</t>
  </si>
  <si>
    <t>9518442721618</t>
  </si>
  <si>
    <t>9518442719141</t>
  </si>
  <si>
    <t>9518442722141</t>
  </si>
  <si>
    <t>9518442729713</t>
  </si>
  <si>
    <t>9518442720567</t>
  </si>
  <si>
    <t>9518442721625</t>
  </si>
  <si>
    <t>9518442721632</t>
  </si>
  <si>
    <t>9518442734236</t>
  </si>
  <si>
    <t>9518442734212</t>
  </si>
  <si>
    <t>9518442734229</t>
  </si>
  <si>
    <t>9518442737510</t>
  </si>
  <si>
    <t>9518442737527</t>
  </si>
  <si>
    <t>9518442737534</t>
  </si>
  <si>
    <t>9518442737541</t>
  </si>
  <si>
    <t>9518442737558</t>
  </si>
  <si>
    <t>9518442737565</t>
  </si>
  <si>
    <t>9518442728617</t>
  </si>
  <si>
    <t>9518442713453</t>
  </si>
  <si>
    <t>9518442728624</t>
  </si>
  <si>
    <t>9518442728631</t>
  </si>
  <si>
    <t>9518442728648</t>
  </si>
  <si>
    <t>9518442728655</t>
  </si>
  <si>
    <t>9518442713521</t>
  </si>
  <si>
    <t>9518442726668</t>
  </si>
  <si>
    <t>9518442713538</t>
  </si>
  <si>
    <t>9518442725685</t>
  </si>
  <si>
    <t>9518442713477</t>
  </si>
  <si>
    <t>9518442725692</t>
  </si>
  <si>
    <t>9518442723254</t>
  </si>
  <si>
    <t>9518442725708</t>
  </si>
  <si>
    <t>9518442713545</t>
  </si>
  <si>
    <t>9518442713552</t>
  </si>
  <si>
    <t>9518442720772</t>
  </si>
  <si>
    <t>9518442735875</t>
  </si>
  <si>
    <t>9518442733000</t>
  </si>
  <si>
    <t>9518442734069</t>
  </si>
  <si>
    <t>9518442733284</t>
  </si>
  <si>
    <t>9518442733017</t>
  </si>
  <si>
    <t>9518442733024</t>
  </si>
  <si>
    <t>9518442720239</t>
  </si>
  <si>
    <t>9518442719998</t>
  </si>
  <si>
    <t>9518442718847</t>
  </si>
  <si>
    <t>9518442719301</t>
  </si>
  <si>
    <t>9518442718854</t>
  </si>
  <si>
    <t>9518442718861</t>
  </si>
  <si>
    <t>9518442721342</t>
  </si>
  <si>
    <t>9518442721359</t>
  </si>
  <si>
    <t>9518442723711</t>
  </si>
  <si>
    <t>9518442728662</t>
  </si>
  <si>
    <t>9518442737572</t>
  </si>
  <si>
    <t>9518442727467</t>
  </si>
  <si>
    <t>9518442727474</t>
  </si>
  <si>
    <t>9518442727481</t>
  </si>
  <si>
    <t>9518442727498</t>
  </si>
  <si>
    <t>9518442713590</t>
  </si>
  <si>
    <t>9518442713606</t>
  </si>
  <si>
    <t>9518442713613</t>
  </si>
  <si>
    <t>9518442713620</t>
  </si>
  <si>
    <t>9518442713583</t>
  </si>
  <si>
    <t>9518442719714</t>
  </si>
  <si>
    <t>9518442720680</t>
  </si>
  <si>
    <t>9518442720697</t>
  </si>
  <si>
    <t>9518442713651</t>
  </si>
  <si>
    <t>9518442713637</t>
  </si>
  <si>
    <t>9518442713576</t>
  </si>
  <si>
    <t>9518442717338</t>
  </si>
  <si>
    <t>9518442723131</t>
  </si>
  <si>
    <t>9518442719318</t>
  </si>
  <si>
    <t>9518442719325</t>
  </si>
  <si>
    <t>9518442734120</t>
  </si>
  <si>
    <t>9518442732614</t>
  </si>
  <si>
    <t>9518442717345</t>
  </si>
  <si>
    <t>9518442733383</t>
  </si>
  <si>
    <t>9518442730399</t>
  </si>
  <si>
    <t>9518442723360</t>
  </si>
  <si>
    <t>9518442733895</t>
  </si>
  <si>
    <t>9518442722578</t>
  </si>
  <si>
    <t>9518442735776</t>
  </si>
  <si>
    <t>9518442722561</t>
  </si>
  <si>
    <t>9518442733277</t>
  </si>
  <si>
    <t>9518442730238</t>
  </si>
  <si>
    <t>9518442730269</t>
  </si>
  <si>
    <t>9518442735523</t>
  </si>
  <si>
    <t>9518442731938</t>
  </si>
  <si>
    <t>9518442731945</t>
  </si>
  <si>
    <t>9518442738074</t>
  </si>
  <si>
    <t>9518442738081</t>
  </si>
  <si>
    <t>9518442738098</t>
  </si>
  <si>
    <t>9518442738104</t>
  </si>
  <si>
    <t>9518442738111</t>
  </si>
  <si>
    <t>9518442738128</t>
  </si>
  <si>
    <t>9518442738135</t>
  </si>
  <si>
    <t>9518442720475</t>
  </si>
  <si>
    <t>9518442720468</t>
  </si>
  <si>
    <t>9518442721212</t>
  </si>
  <si>
    <t>9518442723315</t>
  </si>
  <si>
    <t>9518442721205</t>
  </si>
  <si>
    <t>9518442723032</t>
  </si>
  <si>
    <t>9518442723049</t>
  </si>
  <si>
    <t>9518442720581</t>
  </si>
  <si>
    <t>9518442720598</t>
  </si>
  <si>
    <t>9518442720604</t>
  </si>
  <si>
    <t>9518442724985</t>
  </si>
  <si>
    <t>9518442720611</t>
  </si>
  <si>
    <t>9518442720970</t>
  </si>
  <si>
    <t>9518442720451</t>
  </si>
  <si>
    <t>9518442721335</t>
  </si>
  <si>
    <t>9518442724992</t>
  </si>
  <si>
    <t>9518442725005</t>
  </si>
  <si>
    <t>9518442718885</t>
  </si>
  <si>
    <t>9518442725029</t>
  </si>
  <si>
    <t>9518442718830</t>
  </si>
  <si>
    <t>9518442713408</t>
  </si>
  <si>
    <t>9518442720925</t>
  </si>
  <si>
    <t>9518442720932</t>
  </si>
  <si>
    <t>9518442720949</t>
  </si>
  <si>
    <t>9518442721366</t>
  </si>
  <si>
    <t>9518442723087</t>
  </si>
  <si>
    <t>9518442723094</t>
  </si>
  <si>
    <t>9518442720956</t>
  </si>
  <si>
    <t>9518442736247</t>
  </si>
  <si>
    <t>9518442728815</t>
  </si>
  <si>
    <t>9518442728822</t>
  </si>
  <si>
    <t>9518442723728</t>
  </si>
  <si>
    <t>9518442723070</t>
  </si>
  <si>
    <t>9518442718922</t>
  </si>
  <si>
    <t>9518442722523</t>
  </si>
  <si>
    <t>9518442720994</t>
  </si>
  <si>
    <t>9518442718908</t>
  </si>
  <si>
    <t>9518442718878</t>
  </si>
  <si>
    <t>9518442713422</t>
  </si>
  <si>
    <t>9518442720666</t>
  </si>
  <si>
    <t>9518442713415</t>
  </si>
  <si>
    <t>9518442720673</t>
  </si>
  <si>
    <t>9518442723100</t>
  </si>
  <si>
    <t>9518442721373</t>
  </si>
  <si>
    <t>9518442723117</t>
  </si>
  <si>
    <t>9518442723124</t>
  </si>
  <si>
    <t>9518442720963</t>
  </si>
  <si>
    <t>9518442736254</t>
  </si>
  <si>
    <t>9518442728839</t>
  </si>
  <si>
    <t>9518442729027</t>
  </si>
  <si>
    <t>9518442718915</t>
  </si>
  <si>
    <t>9518442721007</t>
  </si>
  <si>
    <t>9518442718892</t>
  </si>
  <si>
    <t>9518442719226</t>
  </si>
  <si>
    <t>9518442723018</t>
  </si>
  <si>
    <t>9518442723025</t>
  </si>
  <si>
    <t>9518442720628</t>
  </si>
  <si>
    <t>9518442720635</t>
  </si>
  <si>
    <t>9518442720642</t>
  </si>
  <si>
    <t>9518442725043</t>
  </si>
  <si>
    <t>9518442720659</t>
  </si>
  <si>
    <t>9518442720901</t>
  </si>
  <si>
    <t>9518442719981</t>
  </si>
  <si>
    <t>9518442726088</t>
  </si>
  <si>
    <t>9518442732591</t>
  </si>
  <si>
    <t>9518442719707</t>
  </si>
  <si>
    <t>9518442724961</t>
  </si>
  <si>
    <t>9518442724978</t>
  </si>
  <si>
    <t>9518442725357</t>
  </si>
  <si>
    <t>9518442725364</t>
  </si>
  <si>
    <t>9518442735905</t>
  </si>
  <si>
    <t>9518442726057</t>
  </si>
  <si>
    <t>9518442717314</t>
  </si>
  <si>
    <t>9518442719929</t>
  </si>
  <si>
    <t>9518442720864</t>
  </si>
  <si>
    <t>9518442721014</t>
  </si>
  <si>
    <t>9518442720703</t>
  </si>
  <si>
    <t>9518442720710</t>
  </si>
  <si>
    <t>9518442720727</t>
  </si>
  <si>
    <t>9518442720871</t>
  </si>
  <si>
    <t>9518442720734</t>
  </si>
  <si>
    <t>9518442720741</t>
  </si>
  <si>
    <t>9518442720758</t>
  </si>
  <si>
    <t>9518442722998</t>
  </si>
  <si>
    <t>9518442720765</t>
  </si>
  <si>
    <t>9518442712623</t>
  </si>
  <si>
    <t>9518422710670</t>
  </si>
  <si>
    <t>9518422710687</t>
  </si>
  <si>
    <t>9518422710694</t>
  </si>
  <si>
    <t>9518422710717</t>
  </si>
  <si>
    <t>9518422710700</t>
  </si>
  <si>
    <t>9518442734281</t>
  </si>
  <si>
    <t>9518442722790</t>
  </si>
  <si>
    <t>9518442730160</t>
  </si>
  <si>
    <t>9518442730177</t>
  </si>
  <si>
    <t>9518442734175</t>
  </si>
  <si>
    <t>9518442734199</t>
  </si>
  <si>
    <t>9518442734205</t>
  </si>
  <si>
    <t>9518442735530</t>
  </si>
  <si>
    <t>9518442735547</t>
  </si>
  <si>
    <t>9518442735554</t>
  </si>
  <si>
    <t>9518442735561</t>
  </si>
  <si>
    <t>9518442735578</t>
  </si>
  <si>
    <t>9518422710755</t>
  </si>
  <si>
    <t>9518442735837</t>
  </si>
  <si>
    <t>9518442717086</t>
  </si>
  <si>
    <t>9518442734137</t>
  </si>
  <si>
    <t>9518442734144</t>
  </si>
  <si>
    <t>9518442729065</t>
  </si>
  <si>
    <t>9518442730245</t>
  </si>
  <si>
    <t>9518442732386</t>
  </si>
  <si>
    <t>9518442724800</t>
  </si>
  <si>
    <t>9518442726026</t>
  </si>
  <si>
    <t>9518442738531</t>
  </si>
  <si>
    <t>9518442738548</t>
  </si>
  <si>
    <t>9518442734151</t>
  </si>
  <si>
    <t>9518442734168</t>
  </si>
  <si>
    <t>9518442730276</t>
  </si>
  <si>
    <t>9518442730283</t>
  </si>
  <si>
    <t>9518442730351</t>
  </si>
  <si>
    <t>9518442725944</t>
  </si>
  <si>
    <t>9518442734427</t>
  </si>
  <si>
    <t>9518442734434</t>
  </si>
  <si>
    <t>9518442719639</t>
  </si>
  <si>
    <t>9518442729607</t>
  </si>
  <si>
    <t>9518422710816</t>
  </si>
  <si>
    <t>9518442729034</t>
  </si>
  <si>
    <t>9518442737022</t>
  </si>
  <si>
    <t>9518442728693</t>
  </si>
  <si>
    <t>9518422711370</t>
  </si>
  <si>
    <t>9518442729041</t>
  </si>
  <si>
    <t>9518422710779</t>
  </si>
  <si>
    <t>9518442729072</t>
  </si>
  <si>
    <t>9518442735288</t>
  </si>
  <si>
    <t>9518442735721</t>
  </si>
  <si>
    <t>9518442728563</t>
  </si>
  <si>
    <t>9518442718793</t>
  </si>
  <si>
    <t>9518442737800</t>
  </si>
  <si>
    <t>9518442719240</t>
  </si>
  <si>
    <t>9518442725210</t>
  </si>
  <si>
    <t>9518442716836</t>
  </si>
  <si>
    <t>9518442719455</t>
  </si>
  <si>
    <t>9518442726613</t>
  </si>
  <si>
    <t>9518442722813</t>
  </si>
  <si>
    <t>9518442712074</t>
  </si>
  <si>
    <t>9518442725449</t>
  </si>
  <si>
    <t>9518442722707</t>
  </si>
  <si>
    <t>9518442730153</t>
  </si>
  <si>
    <t>9518442723278</t>
  </si>
  <si>
    <t>9518442738067</t>
  </si>
  <si>
    <t>9518422710236</t>
  </si>
  <si>
    <t>9518442719950</t>
  </si>
  <si>
    <t>9518442722745</t>
  </si>
  <si>
    <t>9518442732607</t>
  </si>
  <si>
    <t>9518422710274</t>
  </si>
  <si>
    <t>9518442728709</t>
  </si>
  <si>
    <t>9518442732973</t>
  </si>
  <si>
    <t>9518422710250</t>
  </si>
  <si>
    <t>9518442729058</t>
  </si>
  <si>
    <t>9518442722691</t>
  </si>
  <si>
    <t>9518422710281</t>
  </si>
  <si>
    <t>9518442719479</t>
  </si>
  <si>
    <t>9518442725227</t>
  </si>
  <si>
    <t>9518442736759</t>
  </si>
  <si>
    <t>9518442736766</t>
  </si>
  <si>
    <t>9518442736773</t>
  </si>
  <si>
    <t>9518442736780</t>
  </si>
  <si>
    <t>9518442736797</t>
  </si>
  <si>
    <t>9518442718809</t>
  </si>
  <si>
    <t>9518442718816</t>
  </si>
  <si>
    <t>9518442711855</t>
  </si>
  <si>
    <t>9518442725968</t>
  </si>
  <si>
    <t>9518442733178</t>
  </si>
  <si>
    <t>9518442736551</t>
  </si>
  <si>
    <t>9518442736803</t>
  </si>
  <si>
    <t>9518442736810</t>
  </si>
  <si>
    <t>9518442736827</t>
  </si>
  <si>
    <t>9518442736834</t>
  </si>
  <si>
    <t>9518442736841</t>
  </si>
  <si>
    <t>9518442711862</t>
  </si>
  <si>
    <t>9518442711879</t>
  </si>
  <si>
    <t>9518442711886</t>
  </si>
  <si>
    <t>9518442711893</t>
  </si>
  <si>
    <t>9518442736568</t>
  </si>
  <si>
    <t>9518442736575</t>
  </si>
  <si>
    <t>9518442736957</t>
  </si>
  <si>
    <t>9518442736858</t>
  </si>
  <si>
    <t>9518442736865</t>
  </si>
  <si>
    <t>9518442736872</t>
  </si>
  <si>
    <t>9518442736889</t>
  </si>
  <si>
    <t>9518442736896</t>
  </si>
  <si>
    <t>9518442711909</t>
  </si>
  <si>
    <t>9518442711916</t>
  </si>
  <si>
    <t>9518442711923</t>
  </si>
  <si>
    <t>9518442711930</t>
  </si>
  <si>
    <t>9518442736582</t>
  </si>
  <si>
    <t>9518442736599</t>
  </si>
  <si>
    <t>9518442736162</t>
  </si>
  <si>
    <t>9518442736155</t>
  </si>
  <si>
    <t>9518442721526</t>
  </si>
  <si>
    <t>9518442721533</t>
  </si>
  <si>
    <t>9518442712319</t>
  </si>
  <si>
    <t>9518442733185</t>
  </si>
  <si>
    <t>9518442725197</t>
  </si>
  <si>
    <t>9518442734342</t>
  </si>
  <si>
    <t>9518442734335</t>
  </si>
  <si>
    <t>9518442719264</t>
  </si>
  <si>
    <t>9518442718229</t>
  </si>
  <si>
    <t>9518442718236</t>
  </si>
  <si>
    <t>9518442718243</t>
  </si>
  <si>
    <t>9518442712364</t>
  </si>
  <si>
    <t>9518442718250</t>
  </si>
  <si>
    <t>9518442734380</t>
  </si>
  <si>
    <t>9518442734359</t>
  </si>
  <si>
    <t>9518442734366</t>
  </si>
  <si>
    <t>9518442734373</t>
  </si>
  <si>
    <t>9518442723704</t>
  </si>
  <si>
    <t>9518442736940</t>
  </si>
  <si>
    <t>9518442736902</t>
  </si>
  <si>
    <t>9518442736919</t>
  </si>
  <si>
    <t>9518442736926</t>
  </si>
  <si>
    <t>9518442736933</t>
  </si>
  <si>
    <t>9518442711985</t>
  </si>
  <si>
    <t>9518442711992</t>
  </si>
  <si>
    <t>9518442712005</t>
  </si>
  <si>
    <t>9518442712012</t>
  </si>
  <si>
    <t>9518442728433</t>
  </si>
  <si>
    <t>9518422710557</t>
  </si>
  <si>
    <t>9518442728419</t>
  </si>
  <si>
    <t>9518442725081</t>
  </si>
  <si>
    <t>9518442721298</t>
  </si>
  <si>
    <t>9518442712425</t>
  </si>
  <si>
    <t>9518442711947</t>
  </si>
  <si>
    <t>9518442711954</t>
  </si>
  <si>
    <t>9518422710496</t>
  </si>
  <si>
    <t>9518442730009</t>
  </si>
  <si>
    <t>9518442726132</t>
  </si>
  <si>
    <t>9518442712111</t>
  </si>
  <si>
    <t>9518422710311</t>
  </si>
  <si>
    <t>9518442726149</t>
  </si>
  <si>
    <t>9518442730016</t>
  </si>
  <si>
    <t>9518442725180</t>
  </si>
  <si>
    <t>9518442712128</t>
  </si>
  <si>
    <t>9518422710328</t>
  </si>
  <si>
    <t>9518442719332</t>
  </si>
  <si>
    <t>9518442722769</t>
  </si>
  <si>
    <t>9518442722776</t>
  </si>
  <si>
    <t>9518442722783</t>
  </si>
  <si>
    <t>9518442734106</t>
  </si>
  <si>
    <t>9518442736605</t>
  </si>
  <si>
    <t>9518442736612</t>
  </si>
  <si>
    <t>9518442717109</t>
  </si>
  <si>
    <t>9518442711831</t>
  </si>
  <si>
    <t>9518442711848</t>
  </si>
  <si>
    <t>9518442715167</t>
  </si>
  <si>
    <t>9518442717079</t>
  </si>
  <si>
    <t>9518442726156</t>
  </si>
  <si>
    <t>9518442717970</t>
  </si>
  <si>
    <t>9518442712166</t>
  </si>
  <si>
    <t>9518442719387</t>
  </si>
  <si>
    <t>9518442730023</t>
  </si>
  <si>
    <t>9518422710335</t>
  </si>
  <si>
    <t>9518442726163</t>
  </si>
  <si>
    <t>9518442729256</t>
  </si>
  <si>
    <t>9518442733925</t>
  </si>
  <si>
    <t>9518442729287</t>
  </si>
  <si>
    <t>9518442729294</t>
  </si>
  <si>
    <t>9518442734786</t>
  </si>
  <si>
    <t>9518442733147</t>
  </si>
  <si>
    <t>9518442733253</t>
  </si>
  <si>
    <t>9518442733154</t>
  </si>
  <si>
    <t>9518442733161</t>
  </si>
  <si>
    <t>9518442738142</t>
  </si>
  <si>
    <t>9518442738418</t>
  </si>
  <si>
    <t>9518442738647</t>
  </si>
  <si>
    <t>9518442736438</t>
  </si>
  <si>
    <t>9518442734090</t>
  </si>
  <si>
    <t>9518442720253</t>
  </si>
  <si>
    <t>9518442729621</t>
  </si>
  <si>
    <t>9518442729638</t>
  </si>
  <si>
    <t>9518442736445</t>
  </si>
  <si>
    <t>9518442720260</t>
  </si>
  <si>
    <t>9518442729997</t>
  </si>
  <si>
    <t>9518442726576</t>
  </si>
  <si>
    <t>9518442726583</t>
  </si>
  <si>
    <t>9518442720277</t>
  </si>
  <si>
    <t>9518442726590</t>
  </si>
  <si>
    <t>9518442723339</t>
  </si>
  <si>
    <t>9518442726019</t>
  </si>
  <si>
    <t>9518442726606</t>
  </si>
  <si>
    <t>9518442735950</t>
  </si>
  <si>
    <t>9518442736629</t>
  </si>
  <si>
    <t>9518442736636</t>
  </si>
  <si>
    <t>9518442736643</t>
  </si>
  <si>
    <t>9518442736650</t>
  </si>
  <si>
    <t>9518442720284</t>
  </si>
  <si>
    <t>9518442738050</t>
  </si>
  <si>
    <t>9518442732805</t>
  </si>
  <si>
    <t>9518442720291</t>
  </si>
  <si>
    <t>9518442732430</t>
  </si>
  <si>
    <t>9518442738654</t>
  </si>
  <si>
    <t>9518442720314</t>
  </si>
  <si>
    <t>9518442720321</t>
  </si>
  <si>
    <t>9518442720338</t>
  </si>
  <si>
    <t>9518442721847</t>
  </si>
  <si>
    <t>9518442729942</t>
  </si>
  <si>
    <t>9518442736667</t>
  </si>
  <si>
    <t>9518442735912</t>
  </si>
  <si>
    <t>9518442735929</t>
  </si>
  <si>
    <t>9518442735936</t>
  </si>
  <si>
    <t>9518442735943</t>
  </si>
  <si>
    <t>9518442722103</t>
  </si>
  <si>
    <t>9518442733123</t>
  </si>
  <si>
    <t>9518442728778</t>
  </si>
  <si>
    <t>9518442728761</t>
  </si>
  <si>
    <t>9518442733413</t>
  </si>
  <si>
    <t>9518442736278</t>
  </si>
  <si>
    <t>9518442725111</t>
  </si>
  <si>
    <t>9518442737930</t>
  </si>
  <si>
    <t>9518442737947</t>
  </si>
  <si>
    <t>9518442738203</t>
  </si>
  <si>
    <t>9518442738746</t>
  </si>
  <si>
    <t>9518442738753</t>
  </si>
  <si>
    <t>9518442738760</t>
  </si>
  <si>
    <t>9518442737893</t>
  </si>
  <si>
    <t>9518442737909</t>
  </si>
  <si>
    <t>9518442737916</t>
  </si>
  <si>
    <t>9518442737923</t>
  </si>
  <si>
    <t>9518442729522</t>
  </si>
  <si>
    <t>9518442721946</t>
  </si>
  <si>
    <t>9518442721953</t>
  </si>
  <si>
    <t>9518442721960</t>
  </si>
  <si>
    <t>9518442721984</t>
  </si>
  <si>
    <t>9518442721977</t>
  </si>
  <si>
    <t>9518442729539</t>
  </si>
  <si>
    <t>9518442725654</t>
  </si>
  <si>
    <t>9518442725647</t>
  </si>
  <si>
    <t>9518442725661</t>
  </si>
  <si>
    <t>9518442726545</t>
  </si>
  <si>
    <t>9518442732461</t>
  </si>
  <si>
    <t>9518442726125</t>
  </si>
  <si>
    <t>9518442733505</t>
  </si>
  <si>
    <t>9518442733512</t>
  </si>
  <si>
    <t>9518442722073</t>
  </si>
  <si>
    <t>9518442722752</t>
  </si>
  <si>
    <t>9518442738487</t>
  </si>
  <si>
    <t>9518442722981</t>
  </si>
  <si>
    <t>9518442734397</t>
  </si>
  <si>
    <t>9518442733567</t>
  </si>
  <si>
    <t>9518442735714</t>
  </si>
  <si>
    <t>9518442736506</t>
  </si>
  <si>
    <t>9518442738425</t>
  </si>
  <si>
    <t>9518442736964</t>
  </si>
  <si>
    <t>9518442734724</t>
  </si>
  <si>
    <t>9518442735820</t>
  </si>
  <si>
    <t>9518442738685</t>
  </si>
  <si>
    <t>9518442719363</t>
  </si>
  <si>
    <t>9518442725951</t>
  </si>
  <si>
    <t>9518422710946</t>
  </si>
  <si>
    <t>9518442723346</t>
  </si>
  <si>
    <t>9518442712326</t>
  </si>
  <si>
    <t>9518442738678</t>
  </si>
  <si>
    <t>9518442711633</t>
  </si>
  <si>
    <t>9518442733499</t>
  </si>
  <si>
    <t>9518442723353</t>
  </si>
  <si>
    <t>9518442738739</t>
  </si>
  <si>
    <t>9518442720222</t>
  </si>
  <si>
    <t>9518442736193</t>
  </si>
  <si>
    <t>9518442733390</t>
  </si>
  <si>
    <t>9518442721939</t>
  </si>
  <si>
    <t>9518442721922</t>
  </si>
  <si>
    <t>9518422710878</t>
  </si>
  <si>
    <t>9518422710885</t>
  </si>
  <si>
    <t>9518442723377</t>
  </si>
  <si>
    <t>9518442735844</t>
  </si>
  <si>
    <t>9518442725234</t>
  </si>
  <si>
    <t>9518442723889</t>
  </si>
  <si>
    <t>9518442729850</t>
  </si>
  <si>
    <t>9518442738494</t>
  </si>
  <si>
    <t>9518442736209</t>
  </si>
  <si>
    <t>9518442723391</t>
  </si>
  <si>
    <t>9518442718083</t>
  </si>
  <si>
    <t>9518442737428</t>
  </si>
  <si>
    <t>9518442737282</t>
  </si>
  <si>
    <t>9518442737411</t>
  </si>
  <si>
    <t>9518442732355</t>
  </si>
  <si>
    <t>9518442732362</t>
  </si>
  <si>
    <t>9518442732379</t>
  </si>
  <si>
    <t>9518442723766</t>
  </si>
  <si>
    <t>9518442730047</t>
  </si>
  <si>
    <t>9518442733550</t>
  </si>
  <si>
    <t>9518442729188</t>
  </si>
  <si>
    <t>9518442737275</t>
  </si>
  <si>
    <t>9518442721892</t>
  </si>
  <si>
    <t>9518422711257</t>
  </si>
  <si>
    <t>9518442723414</t>
  </si>
  <si>
    <t>9518442723421</t>
  </si>
  <si>
    <t>9518442725067</t>
  </si>
  <si>
    <t>9518442721991</t>
  </si>
  <si>
    <t>9518442714276</t>
  </si>
  <si>
    <t>9518442726064</t>
  </si>
  <si>
    <t>9518442714290</t>
  </si>
  <si>
    <t>9518442714269</t>
  </si>
  <si>
    <t>9518442728594</t>
  </si>
  <si>
    <t>9518442737329</t>
  </si>
  <si>
    <t>9518442737404</t>
  </si>
  <si>
    <t>9518442733789</t>
  </si>
  <si>
    <t>9518442715723</t>
  </si>
  <si>
    <t>9518442714863</t>
  </si>
  <si>
    <t>9518442719356</t>
  </si>
  <si>
    <t>9518442714887</t>
  </si>
  <si>
    <t>9518442713903</t>
  </si>
  <si>
    <t>9518422710304</t>
  </si>
  <si>
    <t>9518442719462</t>
  </si>
  <si>
    <t>8516543112459</t>
  </si>
  <si>
    <t>9518442725975</t>
  </si>
  <si>
    <t>9518442712395</t>
  </si>
  <si>
    <t>9518442712401</t>
  </si>
  <si>
    <t>9518442717918</t>
  </si>
  <si>
    <t>9518442719677</t>
  </si>
  <si>
    <t>9518442719691</t>
  </si>
  <si>
    <t>9518442722134</t>
  </si>
  <si>
    <t>9518442712180</t>
  </si>
  <si>
    <t>9518442712197</t>
  </si>
  <si>
    <t>9518422710359</t>
  </si>
  <si>
    <t>9518442712265</t>
  </si>
  <si>
    <t>9518442734250</t>
  </si>
  <si>
    <t>9518442734243</t>
  </si>
  <si>
    <t>9518442712388</t>
  </si>
  <si>
    <t>9518442725333</t>
  </si>
  <si>
    <t>9518442717451</t>
  </si>
  <si>
    <t>9518442722417</t>
  </si>
  <si>
    <t>9518442717468</t>
  </si>
  <si>
    <t>9518442712739</t>
  </si>
  <si>
    <t>9518442728808</t>
  </si>
  <si>
    <t>9518442728600</t>
  </si>
  <si>
    <t>9518442712753</t>
  </si>
  <si>
    <t>9518442712760</t>
  </si>
  <si>
    <t>9518442712777</t>
  </si>
  <si>
    <t>9518442712821</t>
  </si>
  <si>
    <t>9518422710595</t>
  </si>
  <si>
    <t>9518442722158</t>
  </si>
  <si>
    <t>9518442712692</t>
  </si>
  <si>
    <t>9518422710618</t>
  </si>
  <si>
    <t>9518442736483</t>
  </si>
  <si>
    <t>9518442728488</t>
  </si>
  <si>
    <t>9518442736513</t>
  </si>
  <si>
    <t>9518442713798</t>
  </si>
  <si>
    <t>9518442713804</t>
  </si>
  <si>
    <t>9518442732140</t>
  </si>
  <si>
    <t>9518442738579</t>
  </si>
  <si>
    <t>9518442713811</t>
  </si>
  <si>
    <t>9518442726521</t>
  </si>
  <si>
    <t>9518442726538</t>
  </si>
  <si>
    <t>9518442725920</t>
  </si>
  <si>
    <t>9518442713859</t>
  </si>
  <si>
    <t>9518442721762</t>
  </si>
  <si>
    <t>9518442721779</t>
  </si>
  <si>
    <t>9518442724824</t>
  </si>
  <si>
    <t>9518442726514</t>
  </si>
  <si>
    <t>9518442724831</t>
  </si>
  <si>
    <t>9518442736216</t>
  </si>
  <si>
    <t>9518442737503</t>
  </si>
  <si>
    <t>9518442713866</t>
  </si>
  <si>
    <t>9518442713873</t>
  </si>
  <si>
    <t>9518442713880</t>
  </si>
  <si>
    <t>9518442733475</t>
  </si>
  <si>
    <t>9518442737091</t>
  </si>
  <si>
    <t>9518442723223</t>
  </si>
  <si>
    <t>9518442736223</t>
  </si>
  <si>
    <t>9518442736230</t>
  </si>
  <si>
    <t>9518442734670</t>
  </si>
  <si>
    <t>9518442736742</t>
  </si>
  <si>
    <t>9518442713897</t>
  </si>
  <si>
    <t>9518442722394</t>
  </si>
  <si>
    <t>9518442738661</t>
  </si>
  <si>
    <t>9518442717529</t>
  </si>
  <si>
    <t>9518442734052</t>
  </si>
  <si>
    <t>9518442729409</t>
  </si>
  <si>
    <t>9518442717505</t>
  </si>
  <si>
    <t>9518442727320</t>
  </si>
  <si>
    <t>9518442729393</t>
  </si>
  <si>
    <t>9518442735509</t>
  </si>
  <si>
    <t>9518442735516</t>
  </si>
  <si>
    <t>9518442738180</t>
  </si>
  <si>
    <t>9518442738166</t>
  </si>
  <si>
    <t>9518442736377</t>
  </si>
  <si>
    <t>9518442722615</t>
  </si>
  <si>
    <t>9518442729416</t>
  </si>
  <si>
    <t>9518442722622</t>
  </si>
  <si>
    <t>9518442723209</t>
  </si>
  <si>
    <t>9518442723216</t>
  </si>
  <si>
    <t>9518442722639</t>
  </si>
  <si>
    <t>9518442734083</t>
  </si>
  <si>
    <t>9518442714573</t>
  </si>
  <si>
    <t>9518442736407</t>
  </si>
  <si>
    <t>9518442738029</t>
  </si>
  <si>
    <t>9518442713828</t>
  </si>
  <si>
    <t>9518442713835</t>
  </si>
  <si>
    <t>9518442717512</t>
  </si>
  <si>
    <t>9518442729959</t>
  </si>
  <si>
    <t>9518442731112</t>
  </si>
  <si>
    <t>9518442731129</t>
  </si>
  <si>
    <t>9518442734694</t>
  </si>
  <si>
    <t>9518442731136</t>
  </si>
  <si>
    <t>9518442731143</t>
  </si>
  <si>
    <t>9518442734700</t>
  </si>
  <si>
    <t>9518442738371</t>
  </si>
  <si>
    <t>9518442731150</t>
  </si>
  <si>
    <t>9518442731563</t>
  </si>
  <si>
    <t>9518442731570</t>
  </si>
  <si>
    <t>9518442726835</t>
  </si>
  <si>
    <t>9518442726811</t>
  </si>
  <si>
    <t>9518442726859</t>
  </si>
  <si>
    <t>9518442726828</t>
  </si>
  <si>
    <t>9518442726842</t>
  </si>
  <si>
    <t>9518442726804</t>
  </si>
  <si>
    <t>9518442735301</t>
  </si>
  <si>
    <t>9518442735318</t>
  </si>
  <si>
    <t>9518442735325</t>
  </si>
  <si>
    <t>9518442735332</t>
  </si>
  <si>
    <t>9518442735349</t>
  </si>
  <si>
    <t>9518442735356</t>
  </si>
  <si>
    <t>9518442735363</t>
  </si>
  <si>
    <t>9518442735370</t>
  </si>
  <si>
    <t>9518442735387</t>
  </si>
  <si>
    <t>9518442735394</t>
  </si>
  <si>
    <t>9518442735400</t>
  </si>
  <si>
    <t>9518442735417</t>
  </si>
  <si>
    <t>9518442719172</t>
  </si>
  <si>
    <t>9518442711565</t>
  </si>
  <si>
    <t>9518442711572</t>
  </si>
  <si>
    <t>9518442716386</t>
  </si>
  <si>
    <t>8516543112312</t>
  </si>
  <si>
    <t>9518442736148</t>
  </si>
  <si>
    <t>9518442719738</t>
  </si>
  <si>
    <t>9518442737589</t>
  </si>
  <si>
    <t>9518442715631</t>
  </si>
  <si>
    <t>9518442732997</t>
  </si>
  <si>
    <t>9518442715648</t>
  </si>
  <si>
    <t>9518442716409</t>
  </si>
  <si>
    <t>9518442716416</t>
  </si>
  <si>
    <t>9518442712951</t>
  </si>
  <si>
    <t>9518442721076</t>
  </si>
  <si>
    <t>9518442721083</t>
  </si>
  <si>
    <t>9518442721090</t>
  </si>
  <si>
    <t>9518442729553</t>
  </si>
  <si>
    <t>9518442725265</t>
  </si>
  <si>
    <t>9518442723445</t>
  </si>
  <si>
    <t>9518442721649</t>
  </si>
  <si>
    <t>9518442726262</t>
  </si>
  <si>
    <t>9518442721656</t>
  </si>
  <si>
    <t>9518442721663</t>
  </si>
  <si>
    <t>9518442721816</t>
  </si>
  <si>
    <t>9518442717185</t>
  </si>
  <si>
    <t>9518442717192</t>
  </si>
  <si>
    <t>9518442717208</t>
  </si>
  <si>
    <t>9518442717215</t>
  </si>
  <si>
    <t>9518442717222</t>
  </si>
  <si>
    <t>9518442717239</t>
  </si>
  <si>
    <t>9518422710632</t>
  </si>
  <si>
    <t>9518422710649</t>
  </si>
  <si>
    <t>9518442723742</t>
  </si>
  <si>
    <t>9518442721854</t>
  </si>
  <si>
    <t>9518442717581</t>
  </si>
  <si>
    <t>9518442717598</t>
  </si>
  <si>
    <t>9518442713057</t>
  </si>
  <si>
    <t>9518442713033</t>
  </si>
  <si>
    <t>9518442717758</t>
  </si>
  <si>
    <t>9518442717765</t>
  </si>
  <si>
    <t>9518442725272</t>
  </si>
  <si>
    <t>9518442723452</t>
  </si>
  <si>
    <t>9518442737848</t>
  </si>
  <si>
    <t>9518442737831</t>
  </si>
  <si>
    <t>9518442717246</t>
  </si>
  <si>
    <t>9518442717253</t>
  </si>
  <si>
    <t>9518442717260</t>
  </si>
  <si>
    <t>9518442717277</t>
  </si>
  <si>
    <t>9518442717284</t>
  </si>
  <si>
    <t>9518442723926</t>
  </si>
  <si>
    <t>9518442721113</t>
  </si>
  <si>
    <t>9518442721120</t>
  </si>
  <si>
    <t>9518442725463</t>
  </si>
  <si>
    <t>9518442721717</t>
  </si>
  <si>
    <t>9518442721724</t>
  </si>
  <si>
    <t>9518442721731</t>
  </si>
  <si>
    <t>9518442726279</t>
  </si>
  <si>
    <t>9518442722455</t>
  </si>
  <si>
    <t>9518442722462</t>
  </si>
  <si>
    <t>9518442721830</t>
  </si>
  <si>
    <t>9518442717123</t>
  </si>
  <si>
    <t>9518442717130</t>
  </si>
  <si>
    <t>9518442717147</t>
  </si>
  <si>
    <t>9518442726286</t>
  </si>
  <si>
    <t>9518442717154</t>
  </si>
  <si>
    <t>9518442717161</t>
  </si>
  <si>
    <t>9518442717178</t>
  </si>
  <si>
    <t>9518442722837</t>
  </si>
  <si>
    <t>9518442722844</t>
  </si>
  <si>
    <t>9518442722851</t>
  </si>
  <si>
    <t>9518442726293</t>
  </si>
  <si>
    <t>9518442726316</t>
  </si>
  <si>
    <t>9518442726323</t>
  </si>
  <si>
    <t>9518442726330</t>
  </si>
  <si>
    <t>9518442733611</t>
  </si>
  <si>
    <t>9518442732157</t>
  </si>
  <si>
    <t>9518442733635</t>
  </si>
  <si>
    <t>9518442733642</t>
  </si>
  <si>
    <t>9518442737046</t>
  </si>
  <si>
    <t>9518442737053</t>
  </si>
  <si>
    <t>9518442737060</t>
  </si>
  <si>
    <t>9518422710663</t>
  </si>
  <si>
    <t>9518442713347</t>
  </si>
  <si>
    <t>9518442719028</t>
  </si>
  <si>
    <t>9518442713217</t>
  </si>
  <si>
    <t>9518442719011</t>
  </si>
  <si>
    <t>9518442712999</t>
  </si>
  <si>
    <t>9518442719042</t>
  </si>
  <si>
    <t>9518442719035</t>
  </si>
  <si>
    <t>9518442733529</t>
  </si>
  <si>
    <t>9518442717772</t>
  </si>
  <si>
    <t>9518442718519</t>
  </si>
  <si>
    <t>9518442726170</t>
  </si>
  <si>
    <t>9518442719059</t>
  </si>
  <si>
    <t>9518442719066</t>
  </si>
  <si>
    <t>9518442730030</t>
  </si>
  <si>
    <t>9518442726194</t>
  </si>
  <si>
    <t>9518442728402</t>
  </si>
  <si>
    <t>9518442730436</t>
  </si>
  <si>
    <t>9518442728440</t>
  </si>
  <si>
    <t>9518442726187</t>
  </si>
  <si>
    <t>9518442728457</t>
  </si>
  <si>
    <t>9518442728464</t>
  </si>
  <si>
    <t>9518442737312</t>
  </si>
  <si>
    <t>9518442717659</t>
  </si>
  <si>
    <t>9518442717703</t>
  </si>
  <si>
    <t>9518442732508</t>
  </si>
  <si>
    <t>9518442732515</t>
  </si>
  <si>
    <t>9518442732522</t>
  </si>
  <si>
    <t>9518442732539</t>
  </si>
  <si>
    <t>9518442732546</t>
  </si>
  <si>
    <t>9518442732553</t>
  </si>
  <si>
    <t>9518442732560</t>
  </si>
  <si>
    <t>9518442732577</t>
  </si>
  <si>
    <t>9518442732584</t>
  </si>
  <si>
    <t>9518442719004</t>
  </si>
  <si>
    <t>9518442722479</t>
  </si>
  <si>
    <t>9518442721670</t>
  </si>
  <si>
    <t>9518442721687</t>
  </si>
  <si>
    <t>9518442722486</t>
  </si>
  <si>
    <t>9518442721823</t>
  </si>
  <si>
    <t>9518442717291</t>
  </si>
  <si>
    <t>9518442717307</t>
  </si>
  <si>
    <t>9518442719295</t>
  </si>
  <si>
    <t>9518442719288</t>
  </si>
  <si>
    <t>9518442720246</t>
  </si>
  <si>
    <t>9518442721809</t>
  </si>
  <si>
    <t>9518442729089</t>
  </si>
  <si>
    <t>9518442735707</t>
  </si>
  <si>
    <t>9518442727412</t>
  </si>
  <si>
    <t>9518442716256</t>
  </si>
  <si>
    <t>9518442716263</t>
  </si>
  <si>
    <t>9518442721861</t>
  </si>
  <si>
    <t>9518442727436</t>
  </si>
  <si>
    <t>9518442727429</t>
  </si>
  <si>
    <t>9518442736537</t>
  </si>
  <si>
    <t>9518442716195</t>
  </si>
  <si>
    <t>9518442716201</t>
  </si>
  <si>
    <t>9518442714382</t>
  </si>
  <si>
    <t>9518442714405</t>
  </si>
  <si>
    <t>9518422711295</t>
  </si>
  <si>
    <t>9518442717482</t>
  </si>
  <si>
    <t>9518442711763</t>
  </si>
  <si>
    <t>9518422711165</t>
  </si>
  <si>
    <t>9518442717567</t>
  </si>
  <si>
    <t>9518442716119</t>
  </si>
  <si>
    <t>9518442717789</t>
  </si>
  <si>
    <t>9518442722547</t>
  </si>
  <si>
    <t>9518442737039</t>
  </si>
  <si>
    <t>9518442715983</t>
  </si>
  <si>
    <t>9518442716027</t>
  </si>
  <si>
    <t>9518442716003</t>
  </si>
  <si>
    <t>9518442716010</t>
  </si>
  <si>
    <t>9518442729447</t>
  </si>
  <si>
    <t>9518442736414</t>
  </si>
  <si>
    <t>9518442714900</t>
  </si>
  <si>
    <t>9518442729867</t>
  </si>
  <si>
    <t>9518442722424</t>
  </si>
  <si>
    <t>9518442725050</t>
  </si>
  <si>
    <t>9518442711404</t>
  </si>
  <si>
    <t>9518442719189</t>
  </si>
  <si>
    <t>9518442711411</t>
  </si>
  <si>
    <t>9518442711428</t>
  </si>
  <si>
    <t>9518442717840</t>
  </si>
  <si>
    <t>9518442711442</t>
  </si>
  <si>
    <t>9518442711466</t>
  </si>
  <si>
    <t>9518442718038</t>
  </si>
  <si>
    <t>9518442711480</t>
  </si>
  <si>
    <t>9518442711497</t>
  </si>
  <si>
    <t>9518442719219</t>
  </si>
  <si>
    <t>9518442711503</t>
  </si>
  <si>
    <t>9518442711527</t>
  </si>
  <si>
    <t>9518442717888</t>
  </si>
  <si>
    <t>9518442711534</t>
  </si>
  <si>
    <t>9518442711541</t>
  </si>
  <si>
    <t>9518442711558</t>
  </si>
  <si>
    <t>9518442711589</t>
  </si>
  <si>
    <t>9518442717833</t>
  </si>
  <si>
    <t>9518442711619</t>
  </si>
  <si>
    <t>9518442722431</t>
  </si>
  <si>
    <t>9518442723759</t>
  </si>
  <si>
    <t>9518442722653</t>
  </si>
  <si>
    <t>9518442726033</t>
  </si>
  <si>
    <t>9518442715907</t>
  </si>
  <si>
    <t>9518442715891</t>
  </si>
  <si>
    <t>9518442715914</t>
  </si>
  <si>
    <t>9518442715921</t>
  </si>
  <si>
    <t>9518442719196</t>
  </si>
  <si>
    <t>9518442719202</t>
  </si>
  <si>
    <t>9518442726200</t>
  </si>
  <si>
    <t>9518442711732</t>
  </si>
  <si>
    <t>9518442733215</t>
  </si>
  <si>
    <t>9518442711749</t>
  </si>
  <si>
    <t>9518442711756</t>
  </si>
  <si>
    <t>9518442711770</t>
  </si>
  <si>
    <t>9518442711794</t>
  </si>
  <si>
    <t>9518442711800</t>
  </si>
  <si>
    <t>9518442728549</t>
  </si>
  <si>
    <t>9518442727375</t>
  </si>
  <si>
    <t>9518442714603</t>
  </si>
  <si>
    <t>9518442726101</t>
  </si>
  <si>
    <t>9518442719882</t>
  </si>
  <si>
    <t>9518442719899</t>
  </si>
  <si>
    <t>9518442719745</t>
  </si>
  <si>
    <t>9518442732171</t>
  </si>
  <si>
    <t>9518442732188</t>
  </si>
  <si>
    <t>9518442714832</t>
  </si>
  <si>
    <t>9518442714849</t>
  </si>
  <si>
    <t>9518442723230</t>
  </si>
  <si>
    <t>9518442723551</t>
  </si>
  <si>
    <t>9518442721281</t>
  </si>
  <si>
    <t>9518442721144</t>
  </si>
  <si>
    <t>9518442714825</t>
  </si>
  <si>
    <t>9518442721151</t>
  </si>
  <si>
    <t>9518442714818</t>
  </si>
  <si>
    <t>9518442714016</t>
  </si>
  <si>
    <t>9518442721137</t>
  </si>
  <si>
    <t>9518442714030</t>
  </si>
  <si>
    <t>9518422711264</t>
  </si>
  <si>
    <t>9518422711271</t>
  </si>
  <si>
    <t>9518422711288</t>
  </si>
  <si>
    <t>9518442721168</t>
  </si>
  <si>
    <t>9518442716805</t>
  </si>
  <si>
    <t>9518442723902</t>
  </si>
  <si>
    <t>9518422711301</t>
  </si>
  <si>
    <t>9518422711318</t>
  </si>
  <si>
    <t>9518422711325</t>
  </si>
  <si>
    <t>9518422711349</t>
  </si>
  <si>
    <t>9518422711332</t>
  </si>
  <si>
    <t>9518442716829</t>
  </si>
  <si>
    <t>9518422711356</t>
  </si>
  <si>
    <t>9518442719752</t>
  </si>
  <si>
    <t>9518442723247</t>
  </si>
  <si>
    <t>9518422711233</t>
  </si>
  <si>
    <t>9518422711141</t>
  </si>
  <si>
    <t>9518442723469</t>
  </si>
  <si>
    <t>9518442725326</t>
  </si>
  <si>
    <t>9518442734816</t>
  </si>
  <si>
    <t>9518442734823</t>
  </si>
  <si>
    <t>9518422711158</t>
  </si>
  <si>
    <t>9518442715884</t>
  </si>
  <si>
    <t>9518442722219</t>
  </si>
  <si>
    <t>9518442719554</t>
  </si>
  <si>
    <t>9518442733086</t>
  </si>
  <si>
    <t>9518442715860</t>
  </si>
  <si>
    <t>9518442726217</t>
  </si>
  <si>
    <t>9518442719820</t>
  </si>
  <si>
    <t>9518442719783</t>
  </si>
  <si>
    <t>9518442734182</t>
  </si>
  <si>
    <t>9518442719776</t>
  </si>
  <si>
    <t>9518442728556</t>
  </si>
  <si>
    <t>9518442716744</t>
  </si>
  <si>
    <t>9518442726071</t>
  </si>
  <si>
    <t>9518422711172</t>
  </si>
  <si>
    <t>9518442737626</t>
  </si>
  <si>
    <t>9518442716348</t>
  </si>
  <si>
    <t>9518442731556</t>
  </si>
  <si>
    <t>9518442726712</t>
  </si>
  <si>
    <t>9518442722448</t>
  </si>
  <si>
    <t>9518442737381</t>
  </si>
  <si>
    <t>9518442723155</t>
  </si>
  <si>
    <t>9518442719448</t>
  </si>
  <si>
    <t>9518442723162</t>
  </si>
  <si>
    <t>9518442723179</t>
  </si>
  <si>
    <t>9518442723186</t>
  </si>
  <si>
    <t>9518442733031</t>
  </si>
  <si>
    <t>9518442728570</t>
  </si>
  <si>
    <t>9518442717895</t>
  </si>
  <si>
    <t>9518442737398</t>
  </si>
  <si>
    <t>9518442726118</t>
  </si>
  <si>
    <t>9518442737008</t>
  </si>
  <si>
    <t>9518442737015</t>
  </si>
  <si>
    <t>9518442736995</t>
  </si>
  <si>
    <t>9518442737114</t>
  </si>
  <si>
    <t>9518442738470</t>
  </si>
  <si>
    <t>9518442724862</t>
  </si>
  <si>
    <t>9518442730146</t>
  </si>
  <si>
    <t>9518442733130</t>
  </si>
  <si>
    <t>9518442731532</t>
  </si>
  <si>
    <t>9518442724886</t>
  </si>
  <si>
    <t>9518442731198</t>
  </si>
  <si>
    <t>9518442731204</t>
  </si>
  <si>
    <t>9518442731211</t>
  </si>
  <si>
    <t>9518442731228</t>
  </si>
  <si>
    <t>9518442731235</t>
  </si>
  <si>
    <t>9518442731242</t>
  </si>
  <si>
    <t>9518442738043</t>
  </si>
  <si>
    <t>9518442737596</t>
  </si>
  <si>
    <t>9518442737619</t>
  </si>
  <si>
    <t>9518442724923</t>
  </si>
  <si>
    <t>9518442724930</t>
  </si>
  <si>
    <t>9518442738456</t>
  </si>
  <si>
    <t>9518442727382</t>
  </si>
  <si>
    <t>9518442737268</t>
  </si>
  <si>
    <t>9518442738630</t>
  </si>
  <si>
    <t>9518442733734</t>
  </si>
  <si>
    <t>9518442721175</t>
  </si>
  <si>
    <t>9518442733574</t>
  </si>
  <si>
    <t>9518442728785</t>
  </si>
  <si>
    <t>9518422710823</t>
  </si>
  <si>
    <t>9518442718045</t>
  </si>
  <si>
    <t>9518442734809</t>
  </si>
  <si>
    <t>9518442735813</t>
  </si>
  <si>
    <t>9518442734793</t>
  </si>
  <si>
    <t>9518442716751</t>
  </si>
  <si>
    <t>9518442722646</t>
  </si>
  <si>
    <t>9518442733376</t>
  </si>
  <si>
    <t>9518422710953</t>
  </si>
  <si>
    <t>9518442737084</t>
  </si>
  <si>
    <t>9518442713972</t>
  </si>
  <si>
    <t>9518442729430</t>
  </si>
  <si>
    <t>9518442729171</t>
  </si>
  <si>
    <t>9518422711363</t>
  </si>
  <si>
    <t>9518442722301</t>
  </si>
  <si>
    <t>9518442722325</t>
  </si>
  <si>
    <t>9518442722257</t>
  </si>
  <si>
    <t>9518442730313</t>
  </si>
  <si>
    <t>9518442730320</t>
  </si>
  <si>
    <t>9518442730337</t>
  </si>
  <si>
    <t>9518442714160</t>
  </si>
  <si>
    <t>9518442722530</t>
  </si>
  <si>
    <t>9518442714177</t>
  </si>
  <si>
    <t>9518422710861</t>
  </si>
  <si>
    <t>9518442714054</t>
  </si>
  <si>
    <t>9518442714061</t>
  </si>
  <si>
    <t>9518442714078</t>
  </si>
  <si>
    <t>9518442714085</t>
  </si>
  <si>
    <t>9518442714092</t>
  </si>
  <si>
    <t>9518442720109</t>
  </si>
  <si>
    <t>9518442719790</t>
  </si>
  <si>
    <t>9518442720093</t>
  </si>
  <si>
    <t>9518442722110</t>
  </si>
  <si>
    <t>9518442734830</t>
  </si>
  <si>
    <t>9518442730382</t>
  </si>
  <si>
    <t>9518442716362</t>
  </si>
  <si>
    <t>9518442716379</t>
  </si>
  <si>
    <t>9518442734038</t>
  </si>
  <si>
    <t>מגשרים RJ45 CAT6a עם אישור DELTA / EC VERIFIED</t>
  </si>
  <si>
    <t>מגשר מסוכך CAT7 נחושת 75 מטר אפור</t>
  </si>
  <si>
    <t>מגשר מסוכך CAT7 נחושת 100 מטר אפור</t>
  </si>
  <si>
    <t>מגשרים אופטיים SINGLE MODE 9/125 UPC</t>
  </si>
  <si>
    <t>מגשר SM דופלקס LC-LC אורך 0.25מ</t>
  </si>
  <si>
    <t>מגשרים אופטיים SINGLE MODE 9/125 APC+UPC</t>
  </si>
  <si>
    <t>מגשר SM סימפלקס LC/APC-LC/APC אורך 1מ</t>
  </si>
  <si>
    <t>מגשר SM סימפלקס LC/APC-LC/APC אורך 2מ</t>
  </si>
  <si>
    <t>מגשר SM סימפלקס LC/APC-LC/UPC אורך 1מ</t>
  </si>
  <si>
    <t>מגשר SM סימפלקס LC/APC-LC/UPC אורך 2מ</t>
  </si>
  <si>
    <t>מגשר SM דופלקס LC/APC-LC/APC אורך 1מ</t>
  </si>
  <si>
    <t>מגשר SM דופלקס LC/APC-LC/APC אורך 2מ</t>
  </si>
  <si>
    <t>מגשר SM דופלקס LC/APC-LC/UPC אורך 1מ</t>
  </si>
  <si>
    <t>מגשר SM דופלקס LC/APC-LC/UPC אורך 2מ</t>
  </si>
  <si>
    <t>מגשר SM סימפלקס LC/APC-SC/APC אורך 1מ</t>
  </si>
  <si>
    <t>מגשר SM סימפלקס LC/APC-SC/APC אורך 2מ</t>
  </si>
  <si>
    <t>מגשר SM סימפלקס LC/UPC-SC/APC אורך 1מ</t>
  </si>
  <si>
    <t>מגשר SM סימפלקס LC/UPC-SC/APC אורך 2מ</t>
  </si>
  <si>
    <t>מגשר SM דופלקס LC/APC-SC/APC אורך 1מ</t>
  </si>
  <si>
    <t>מגשר SM דופלקס LC/APC-SC/APC אורך 2מ</t>
  </si>
  <si>
    <t>מגשר SM דופלקס LC/APC-SC/UPC אורך 1מ</t>
  </si>
  <si>
    <t>מגשר SM דופלקס LC/APC-SC/UPC אורך 2מ</t>
  </si>
  <si>
    <t>מגשר SM דופלקס LC/UPC-SC/APC אורך 1מ</t>
  </si>
  <si>
    <t>מגשר SM דופלקס LC/UPC-SC/APC אורך 2מ</t>
  </si>
  <si>
    <t>מגשר SM סימפלקס SC/APC-SC/APC אורך 1מ</t>
  </si>
  <si>
    <t>מגשר SM סימפלקס SC/APC-SC/APC אורך 2מ</t>
  </si>
  <si>
    <t>מגשר SM סימפלקס SC/APC-SC/UPC אורך 1מ</t>
  </si>
  <si>
    <t>מגשר SM סימפלקס SC/APC-SC/UPC אורך 2מ</t>
  </si>
  <si>
    <t>מגשר SM דופלקס SC/APC-SC/APC אורך 1מ</t>
  </si>
  <si>
    <t>מגשר SM דופלקס SC/APC-SC/APC אורך 2מ</t>
  </si>
  <si>
    <t>מגשר SM דופלקס SC/APC-SC/UPC אורך 1מ</t>
  </si>
  <si>
    <t>מגשר SM דופלקס SC/APC-SC/UPC אורך 2מ</t>
  </si>
  <si>
    <t>מגשר MM OM3 דופלקס LC-LC אורך 0.25מ</t>
  </si>
  <si>
    <t>כבלים אופטיים טקטיים על גלגלת</t>
  </si>
  <si>
    <t>כבל טקטי על גלגלת עם 4 סיבים MM OM3 מחברי LC באורך 100מ</t>
  </si>
  <si>
    <t>כבל טקטי על גלגלת עם 4 סיבים MM OM3 מחברי LC באורך 200מ</t>
  </si>
  <si>
    <t>כבל טקטי על גלגלת עם 8 סיבים MM OM3 מחברי LC באורך 200מ</t>
  </si>
  <si>
    <t>כבל טקטי על גלגלת עם 4 סיבים SM מחברי LC באורך 100מ</t>
  </si>
  <si>
    <t>כבל טקטי על גלגלת עם 4 סיבים SM מחברי LC באורך 200מ</t>
  </si>
  <si>
    <t>כבל טקטי על גלגלת עם 8 סיבים SM מחברי LC באורך 100מ</t>
  </si>
  <si>
    <t>כבל טקטי על גלגלת עם 8 סיבים SM מחברי LC באורך 200מ</t>
  </si>
  <si>
    <t>פיגטייל אופטי להיתוך + סליבים</t>
  </si>
  <si>
    <t>מארז 100 סליבים</t>
  </si>
  <si>
    <t>מארז 100 צינוריות "סליב" שקופות לסיב אופטי 40x2.5 מ"מ</t>
  </si>
  <si>
    <t>מארז 100 צינוריות "סליב" שקופות לסיב אופטי 60x2.5 מ"מ</t>
  </si>
  <si>
    <t>מארז 100 צינוריות "סליב" שקופות לסיב אופטי 40x3.0 מ"מ</t>
  </si>
  <si>
    <t>מארז 100 צינוריות "סליב" שקופות לסיב אופטי 60x3.0 מ"מ</t>
  </si>
  <si>
    <t>מתאם SC/UPC SM סימפלקס נ-נ לפאנל, כחול</t>
  </si>
  <si>
    <t>מתאם SC/APC SM דופלקס נ-נ לפאנל, ירוק</t>
  </si>
  <si>
    <t>טרנסיברים miniGBIC SFP / QSFP וממירי מדיה אופטיים</t>
  </si>
  <si>
    <t>טרנסיברים miniGBIC SFP / QSFP</t>
  </si>
  <si>
    <t>קידוד SFP ל- JUNIPER / DELL / FORTINET / אחר</t>
  </si>
  <si>
    <t>טרנסיבר 40G QSFP+ LR4 1310nm SM LC 10KM תואם CISCO/MSA</t>
  </si>
  <si>
    <t>טרנסיבר 40G QSFP+ LR4 1310nm SM MPO 10KM תואם CISCO/MSA</t>
  </si>
  <si>
    <t>טרנסיבר 100G QSFP28 LR4 1310nm SM LC 10KM תואם CISCO/MSA</t>
  </si>
  <si>
    <t>ממיר מדיה תעשייתי RJ45 10/100/1000 ל-SFP SLOT לא כולל SFP</t>
  </si>
  <si>
    <t>כבל ממיר HDMI TO VGA+AUDIO בשקית תלייה (מסך VGA)</t>
  </si>
  <si>
    <t>כבל ממיר HDMI TO VGA+AUDIO בבליסטר (מסך VGA)</t>
  </si>
  <si>
    <t>כבל HDMI TO VGA+AUDIO +מתח USB באורך 1.8מ (מסך VGA)</t>
  </si>
  <si>
    <t>ממיר VGA + אודיו ל-HDMI, מתח USB (מסך HDMI)</t>
  </si>
  <si>
    <t>כבל ממיר VGA + אודיו זכר PL3.5 ל-HDMI נקבה (מסך HDMI)</t>
  </si>
  <si>
    <t>כבל ממיר VGA + אודיו PL3.5 ל-HDMI נקבה (מסך HDMI), אקונומי</t>
  </si>
  <si>
    <t>ממיר HDMI ל-VGA + אודיו, מתח USB (מסך VGA)</t>
  </si>
  <si>
    <t>מתאם דמי HDMI DUMMY PLUG תומך 4K@30HZ</t>
  </si>
  <si>
    <t>ממיר VGA TO --&gt; AV 3xRCA + ספק כוח</t>
  </si>
  <si>
    <t>ממיר AV 3xRCA TO --&gt; VGA + ספק כוח</t>
  </si>
  <si>
    <t>מפצלים DVI</t>
  </si>
  <si>
    <t>מרחיקי אודיו / בלונים</t>
  </si>
  <si>
    <t>מרחיק אודיו דיגיטלי אופטי/קואקס על כבל רשת עד 500מ, תומך POC</t>
  </si>
  <si>
    <t>מתג DH KVM 4:1 אוטומטי 2xHDMI 4K + USB + ספק + כבלים</t>
  </si>
  <si>
    <t>מתג KVM 2:1 אוטומטי DP 4K@60HZ + USB2.0 עם ספק, שלט וכבלים</t>
  </si>
  <si>
    <t>מתג KVM 4:1 אוטומטי DP 4K@60HZ + USB2.0 עם ספק, שלט וכבלים</t>
  </si>
  <si>
    <t>מרחיק HDMI+USB+AUDIO על כבל אופטי SM בודד עד 20 ק"מ</t>
  </si>
  <si>
    <t>כבל HDMI2.0 מוזהב באורך 1 מטר 4K@60HZ אקונומי</t>
  </si>
  <si>
    <t>כבל HDMI מוזהב באורך 5 מטר 30AWG 4K@30HZ</t>
  </si>
  <si>
    <t>כבל HDMI מוזהב באורך 7.5 מטר 30AWG 4K@30HZ</t>
  </si>
  <si>
    <t>כבל HDMI מוזהב באורך 10 מטר 30AWG 4K@30HZ</t>
  </si>
  <si>
    <t>כבל HDMI מוזהב באורך 10 מטר 28AWG 4K@30HZ</t>
  </si>
  <si>
    <t>כבל HDMI מוזהב באורך 12 מטר 28AWG 4K@30HZ</t>
  </si>
  <si>
    <t>כבל HDMI מוזהב באורך 15 מטר 28AWG 4K@30HZ</t>
  </si>
  <si>
    <t>כבל HDMI2.1 מוזהב ראשי מתכת 8K@60HZ באורך 5מ</t>
  </si>
  <si>
    <t>כבל HDMI מקצועי TopX באורך 7.5מ 28AWG 4K@30HZ</t>
  </si>
  <si>
    <t>כבל HDMI2.0 מקצועי TopX באורך 12מ 26AWG 4K@60HZ</t>
  </si>
  <si>
    <t>כבל HDMI 4K@30HZ מוזהב, צד אחד 90 מעלות 10מ</t>
  </si>
  <si>
    <t>כבל ממיר DVI-D 24+1 זכר ל- VGA נקבה (VGA במסך/מקרן)</t>
  </si>
  <si>
    <t>כבל VGA מסוכך + פריטים, ז-נ,  3 מטר</t>
  </si>
  <si>
    <t>כבל DISPLAYPORT ז-ז באורך 0.5מ' 4K@60HZ</t>
  </si>
  <si>
    <t>כבל DISPLAYPORT ז-ז באורך 7.5מ' 4K@60HZ</t>
  </si>
  <si>
    <t>כבל DISPLAYPORT ז-ז באורך 10מ' 4K@60HZ</t>
  </si>
  <si>
    <t>כבל ממיר HDMI זכר DISPLAYPORT זכר 4k@60hz (למסך DP) 1.8מ</t>
  </si>
  <si>
    <t>מפצלים וממתגים DISPLAYPORT</t>
  </si>
  <si>
    <t>מפצל DISPLAYPORT 1.4 ל-3 יציאות, תומך MST</t>
  </si>
  <si>
    <t>ממתג DP 1.4 דו-כיווני 2:1 תומך 8K@60HZ מתח USB</t>
  </si>
  <si>
    <t>כבל USB2.0 מאריך אקטיבי 5 מטר  AM-AF אקונומי</t>
  </si>
  <si>
    <t>כבל USB2.0 מאריך אקטיבי 10 מטר  AM-AF אקונומי</t>
  </si>
  <si>
    <t>כבל מאריך USB3.0 זכר - נקבה, 0.2 מטר</t>
  </si>
  <si>
    <t>כבל THUNDERBOLT 4 40GBPS TYPE C - C אורך 0.5מ</t>
  </si>
  <si>
    <t>מתאם USB C ל-LAN GIGA 10/100/1000 עם לדים (צ'יפ REALTEK)</t>
  </si>
  <si>
    <t>מתאם USB C ל-2 יציאות HDMI תומך MST + חיבורי USB3.0 + C(PD)</t>
  </si>
  <si>
    <t>מתאם USB C למגוון חיבורים HDMI/VGA/PD/RJ45/PL3.5/3xUSB3.0/MC</t>
  </si>
  <si>
    <t>מתאם USB C למגוון חיבורים תומך 3 מסכים MST (לא תואם MAC)</t>
  </si>
  <si>
    <t>מארזים ותחנות עגינה ל-HDD/SSD</t>
  </si>
  <si>
    <t>מארז חיצוני 10G לכונן SATA / NVME SSD M.2 בחיבור USB-C/A</t>
  </si>
  <si>
    <t>מארז חיצוני 5G לכונן SATA 2.5'' אלומינים MICRO USB 3.0</t>
  </si>
  <si>
    <t>מארז חיצוני USB3.2 10G לכונן SATA 2.5'' אלומינים USB C</t>
  </si>
  <si>
    <t>תחנת עגינה 10G לכונן NVME SSD M.2 בחיבור USB-C</t>
  </si>
  <si>
    <t>תחנת עגינה 10G לכונן SATA + NVME SSD M.2 בחיבור USB-C</t>
  </si>
  <si>
    <t>תחנת עגינה 10G ל-2 כוננים NVME SSD M.2 בחיבור USB-C</t>
  </si>
  <si>
    <t>מגש מתכת + ברגים להרכבת כונן 2.5''/SSD במקום כונן 3.5''</t>
  </si>
  <si>
    <t>מתאם רשת USB3.0 A - LAN RJ45 10/100/1000 + כבל קצר (REALTEK)</t>
  </si>
  <si>
    <t>קורא RFID עם חיבור USB, תדר 125KHZ</t>
  </si>
  <si>
    <t>רכזת USB3.2 TYPE C ל-4 חיבורי USB3.2 TYPE A תומך 5GBPS</t>
  </si>
  <si>
    <t>רכזת USB3.0 אלומינום 5 פורט, מתוכם 1 להטענה מהירה, כולל ספק</t>
  </si>
  <si>
    <t>רכזת USB3.0 אלומינום 7 פורט, מתוכם 4 להטענה מהירה, כולל ספק</t>
  </si>
  <si>
    <t>רכזת USB3.0 אלומינום 10 פורט, מתוכם 4 להטענה מהירה, כולל ספק</t>
  </si>
  <si>
    <t>כבל מתח "קומקום" C13 לישראלי תיקני 3x0.75 באורך 1.8מ (180מע)</t>
  </si>
  <si>
    <t>כבל מתח "קומקום" C15 עם שגם לישראלי תיקני 3x1.00 שחור 1.8מ</t>
  </si>
  <si>
    <t>כבל מתח "קומקום" C15 עם שגם לישראלי תיקני 3x1.00 לבן 2מ</t>
  </si>
  <si>
    <t>כבל מתח "קומקום" C13 לבריטי אורך סטנדרט</t>
  </si>
  <si>
    <t>זוג מדבקות סימון למגשר רשת נחושת או אופטיקה</t>
  </si>
  <si>
    <t>ממיר אודיו דיגיטלי (אופטי+קואקס) לאנלוגי, מתח USB</t>
  </si>
  <si>
    <t>ממיר אודיו דיגיטלי (אופטי+קואקס) לאנלוגי + ספק כוח</t>
  </si>
  <si>
    <t>כבל מאריך PL 3.5 סטריאו זכר-נקבה 0.5 מטר אקונומי</t>
  </si>
  <si>
    <t>כבל מאריך PL 3.5 סטריאו זכר-נקבה 1 מטר אקונומי</t>
  </si>
  <si>
    <t>כבל מאריך PL 3.5 סטריאו זכר-נקבה 1.8 מטר אקונומי</t>
  </si>
  <si>
    <t>כבל מאריך PL 3.5 סטריאו זכר-נקבה 3 מטר אקונומי</t>
  </si>
  <si>
    <t>כבל PL 3.5 זכר-נקבה מסוכך יצוק, 1 מטר</t>
  </si>
  <si>
    <t>כבל XLR זכר-נקבה באורך 2 מטר</t>
  </si>
  <si>
    <t>תקע זכר D-TYPE עם 25 פינים, להלחמה</t>
  </si>
  <si>
    <t>קופסא על הקיר + 4 שקעים ריקים לחיבור אופטי SC או LC כפול</t>
  </si>
  <si>
    <t>פנל תקשורת שולחני 8P CAT6 עם קונקטורים מסוכך</t>
  </si>
  <si>
    <t>פנל תקשורת שולחני 12P CAT6 עם קונקטורים מסוכך</t>
  </si>
  <si>
    <t>פנל טלפוניה 50 פורט CAT3 8P4C, ל-1U 19''</t>
  </si>
  <si>
    <t>שסתום פלסטיק שחור לחור SC כפול או LC קוואד</t>
  </si>
  <si>
    <t>שסתום פלסטיק שחור לחור SC בודד או LC כפול</t>
  </si>
  <si>
    <t>לוחץ BNC לכבל קואקסיאלי RG58/59/62/174</t>
  </si>
  <si>
    <t>גלגלות לכבלים</t>
  </si>
  <si>
    <t>גלגלת לכבלים עם ידית נשיאה ומעצור, קוטר 235 מ"מ</t>
  </si>
  <si>
    <t>גלגלת לכבלים עם ידית נשיאה ומעצור, קוטר 310 מ"מ</t>
  </si>
  <si>
    <t>גלגלת לכבלים עם ידית נשיאה ומעצור, קוטר 380 מ"מ</t>
  </si>
  <si>
    <t>ספק כוח 220V ל-5V 1A, תקע 5.5/2.1-2.5</t>
  </si>
  <si>
    <t>ספק כוח 220V ל-5V 1A, תקע 3.5/1.35</t>
  </si>
  <si>
    <t>ספק כוח 220V ל-12V 1A, תקע 5.5/2.1</t>
  </si>
  <si>
    <t>9518442739538</t>
  </si>
  <si>
    <t>9518442739521</t>
  </si>
  <si>
    <t>9518442739804</t>
  </si>
  <si>
    <t>9518442739682</t>
  </si>
  <si>
    <t>9518442739699</t>
  </si>
  <si>
    <t>9518442739705</t>
  </si>
  <si>
    <t>9518442739712</t>
  </si>
  <si>
    <t>9518442739026</t>
  </si>
  <si>
    <t>9518442739033</t>
  </si>
  <si>
    <t>9518442739095</t>
  </si>
  <si>
    <t>9518442739101</t>
  </si>
  <si>
    <t>9518442739729</t>
  </si>
  <si>
    <t>9518442739736</t>
  </si>
  <si>
    <t>9518442739620</t>
  </si>
  <si>
    <t>9518442739637</t>
  </si>
  <si>
    <t>9518442739118</t>
  </si>
  <si>
    <t>9518442739125</t>
  </si>
  <si>
    <t>9518442739132</t>
  </si>
  <si>
    <t>9518442739149</t>
  </si>
  <si>
    <t>9518442739156</t>
  </si>
  <si>
    <t>9518442739163</t>
  </si>
  <si>
    <t>9518442739002</t>
  </si>
  <si>
    <t>9518442739019</t>
  </si>
  <si>
    <t>9518442739743</t>
  </si>
  <si>
    <t>9518442739750</t>
  </si>
  <si>
    <t>9518442738982</t>
  </si>
  <si>
    <t>9518442738999</t>
  </si>
  <si>
    <t>9518442739088</t>
  </si>
  <si>
    <t>9518442739040</t>
  </si>
  <si>
    <t>9518442739798</t>
  </si>
  <si>
    <t>9518442739422</t>
  </si>
  <si>
    <t>9518442739439</t>
  </si>
  <si>
    <t>9518442739545</t>
  </si>
  <si>
    <t>9518442739446</t>
  </si>
  <si>
    <t>9518442739453</t>
  </si>
  <si>
    <t>9518442739460</t>
  </si>
  <si>
    <t>9518442739477</t>
  </si>
  <si>
    <t>9518442739484</t>
  </si>
  <si>
    <t>9518442732867</t>
  </si>
  <si>
    <t>9518442738968</t>
  </si>
  <si>
    <t>9518442738975</t>
  </si>
  <si>
    <t>9518442738944</t>
  </si>
  <si>
    <t>9518442738951</t>
  </si>
  <si>
    <t>9518442739767</t>
  </si>
  <si>
    <t>9518442739057</t>
  </si>
  <si>
    <t>9518442739316</t>
  </si>
  <si>
    <t>9518442740114</t>
  </si>
  <si>
    <t>9518442739309</t>
  </si>
  <si>
    <t>9518442739286</t>
  </si>
  <si>
    <t>9518442729645</t>
  </si>
  <si>
    <t>9518442739194</t>
  </si>
  <si>
    <t>9518442739873</t>
  </si>
  <si>
    <t>9518442739866</t>
  </si>
  <si>
    <t>9518442718533</t>
  </si>
  <si>
    <t>9518442739330</t>
  </si>
  <si>
    <t>9518442739569</t>
  </si>
  <si>
    <t>9518442739170</t>
  </si>
  <si>
    <t>9518442739187</t>
  </si>
  <si>
    <t>9518442739293</t>
  </si>
  <si>
    <t>9518442739255</t>
  </si>
  <si>
    <t>9518442739262</t>
  </si>
  <si>
    <t>9518442740107</t>
  </si>
  <si>
    <t>9518442739231</t>
  </si>
  <si>
    <t>9518442739576</t>
  </si>
  <si>
    <t>9518442739583</t>
  </si>
  <si>
    <t>9518442739590</t>
  </si>
  <si>
    <t>9518442739606</t>
  </si>
  <si>
    <t>9518442739613</t>
  </si>
  <si>
    <t>9518442738876</t>
  </si>
  <si>
    <t>9518442738883</t>
  </si>
  <si>
    <t>9518442738890</t>
  </si>
  <si>
    <t>9518442738906</t>
  </si>
  <si>
    <t>9518442738913</t>
  </si>
  <si>
    <t>9518442738920</t>
  </si>
  <si>
    <t>9518442738937</t>
  </si>
  <si>
    <t>9518442720888</t>
  </si>
  <si>
    <t>9518442739248</t>
  </si>
  <si>
    <t>9518442739064</t>
  </si>
  <si>
    <t>9518442739361</t>
  </si>
  <si>
    <t>9518442739491</t>
  </si>
  <si>
    <t>9518442739644</t>
  </si>
  <si>
    <t>9518442739651</t>
  </si>
  <si>
    <t>9518442740053</t>
  </si>
  <si>
    <t>9518442738791</t>
  </si>
  <si>
    <t>9518442739514</t>
  </si>
  <si>
    <t>9518442739507</t>
  </si>
  <si>
    <t>9518442738807</t>
  </si>
  <si>
    <t>9518442738814</t>
  </si>
  <si>
    <t>9518442738821</t>
  </si>
  <si>
    <t>9518442738838</t>
  </si>
  <si>
    <t>9518442738845</t>
  </si>
  <si>
    <t>9518442739071</t>
  </si>
  <si>
    <t>9518442739897</t>
  </si>
  <si>
    <t>9518442739903</t>
  </si>
  <si>
    <t>9518442739910</t>
  </si>
  <si>
    <t>9518442739927</t>
  </si>
  <si>
    <t>9518442739934</t>
  </si>
  <si>
    <t>9518442739279</t>
  </si>
  <si>
    <t>9518442739774</t>
  </si>
  <si>
    <t>9518442739552</t>
  </si>
  <si>
    <t>9518442739989</t>
  </si>
  <si>
    <t>9518442739965</t>
  </si>
  <si>
    <t>9518442739972</t>
  </si>
  <si>
    <t>9518442740008</t>
  </si>
  <si>
    <t>9518442740015</t>
  </si>
  <si>
    <t>9518442740022</t>
  </si>
  <si>
    <t>9518442739996</t>
  </si>
  <si>
    <t>9518442740046</t>
  </si>
  <si>
    <t>9518442739880</t>
  </si>
  <si>
    <t>9518442739835</t>
  </si>
  <si>
    <t>9518442739842</t>
  </si>
  <si>
    <t>9518442739859</t>
  </si>
  <si>
    <t>9518442738036</t>
  </si>
  <si>
    <t>9518442739675</t>
  </si>
  <si>
    <t>9518442739941</t>
  </si>
  <si>
    <t>9518442738784</t>
  </si>
  <si>
    <t>9518442739828</t>
  </si>
  <si>
    <t>9518442732096</t>
  </si>
  <si>
    <t>9518442732164</t>
  </si>
  <si>
    <t>9518442739958</t>
  </si>
  <si>
    <t>9518442740084</t>
  </si>
  <si>
    <t>9518442740039</t>
  </si>
  <si>
    <t>9518442738869</t>
  </si>
  <si>
    <t>9518442738852</t>
  </si>
  <si>
    <t>9518442739224</t>
  </si>
  <si>
    <t>9518442739392</t>
  </si>
  <si>
    <t>9518442739408</t>
  </si>
  <si>
    <t>9518442739415</t>
  </si>
  <si>
    <t>9518442740077</t>
  </si>
  <si>
    <t>9518442740060</t>
  </si>
  <si>
    <t>9518442739217</t>
  </si>
  <si>
    <t>כבל שחור מסולסל לשפופרת טלפון באורך 0.4מ, נמתח עד 3מ</t>
  </si>
  <si>
    <t>מגשרי SM משוריינים להתקנות FTTH</t>
  </si>
  <si>
    <t>מגשר SM סימפלקס משוריין LC/APC - LC/APC להשחלה 10מ'</t>
  </si>
  <si>
    <t>מגשר SM סימפלקס משוריין LC/APC - LC/APC להשחלה 20מ'</t>
  </si>
  <si>
    <t>מגשר SM סימפלקס משוריין LC/APC - LC/APC להשחלה 30מ'</t>
  </si>
  <si>
    <t>מגשר SM סימפלקס משוריין LC/APC - LC/APC להשחלה 50מ'</t>
  </si>
  <si>
    <t>מגשר SM סימפלקס משוריין SC/APC - LC/APC להשחלה 10מ'</t>
  </si>
  <si>
    <t>מגשר SM סימפלקס משוריין SC/APC - LC/APC להשחלה 20מ'</t>
  </si>
  <si>
    <t>מגשר SM סימפלקס משוריין SC/APC - LC/APC להשחלה 30מ'</t>
  </si>
  <si>
    <t>מגשר SM סימפלקס משוריין SC/APC - LC/APC להשחלה 50מ'</t>
  </si>
  <si>
    <t>מגשרים MPO/MTP</t>
  </si>
  <si>
    <t>כבל MTP F-F TYPE B 12*OM3-300 באורך 2 מטר</t>
  </si>
  <si>
    <t>כבל MTP F-F TYPE B 12*OM3-300 באורך 3 מטר</t>
  </si>
  <si>
    <t>כבל MTP F-F TYPE B 12*OM3-300 באורך 5 מטר</t>
  </si>
  <si>
    <t>כבל MTP F – 4*LC-DUPLEX OM3-300 באורך 2 מטר</t>
  </si>
  <si>
    <t>כבל MTP F – 4*LC-DUPLEX OM3-300 באורך 3 מטר</t>
  </si>
  <si>
    <t>כבלים טקטיים וגלגלות</t>
  </si>
  <si>
    <t>כבלים RJ45 CAT7 טקטיים על גלגלת</t>
  </si>
  <si>
    <t>מגשר RJ45 CAT7 טקטי 50 מטר על גלגלת</t>
  </si>
  <si>
    <t>מגשר RJ45 CAT7 טקטי 75 מטר על גלגלת</t>
  </si>
  <si>
    <t>מגשר RJ45 CAT7 טקטי 100 מטר על גלגלת</t>
  </si>
  <si>
    <t>מארז 100 צינוריות "סליב" שקופות לסיב אופטי 60x3.5 מ"מ</t>
  </si>
  <si>
    <t>טרנסיבר 40G QSFP+ SR4 850nm MM MPO 150M תואם JUNIPER</t>
  </si>
  <si>
    <t>טרנסיבר 100G QSFP28 SR4 850nm MM MPO 100M תואם JUNIPER</t>
  </si>
  <si>
    <t>טרנסיבר SFP ל-10/100/1000 RJ45 ל-100 מטר תואם JUNIPER</t>
  </si>
  <si>
    <t>טרנסיבר +SFP ל-SR 10G 850nm MM 300M תואם JUNIPER</t>
  </si>
  <si>
    <t>טרנסיבר +SFP ל-10G RJ45 ל-30 מטר תואם JUNIPER</t>
  </si>
  <si>
    <t>מטריצה HDMI 2 IN 2 OUT + שלט 4K</t>
  </si>
  <si>
    <t>ממיר VGA+אודיו ל-HDMI, מתכתי איכותי עם ספק כוח (מסך HDMI)</t>
  </si>
  <si>
    <t>מתאם דמי HDMI DUMMY PLUG זכר-נקבה תומך 4K@60HZ</t>
  </si>
  <si>
    <t>מפצל VGA מתכתי מוגבר 2 מסכים 350MHz + ספק כוח</t>
  </si>
  <si>
    <t>מתג KVM 2:1 אוטומטי DP 4K@60HZ + USB2.0 + לחצן שולחני וכבלים</t>
  </si>
  <si>
    <t>מתג DH KVM 2:1 אוטומטי 2xDP 4K@60HZ + USB2.0 + ספק + כבלים</t>
  </si>
  <si>
    <t>מתג שיתוף USB3.0 אוטומטי 4 מכשירים ל-2 מחשבים</t>
  </si>
  <si>
    <t>ממיר SDI TO HDMI תומך SDI-SD/HD/3G</t>
  </si>
  <si>
    <t>ממיר HDMI TO SDI תומך SDI-SD/HD/3G</t>
  </si>
  <si>
    <t>מפצל מוגבר SDI ל-4 יציאות תומך SDI-SD/HD/3G</t>
  </si>
  <si>
    <t>כבל HDMI1.4 אורך 1.5 מטר, אקונומי (ללא מדבקה)</t>
  </si>
  <si>
    <t>כבלים HDMI 4K</t>
  </si>
  <si>
    <t>כבל HDMI2.0 מוזהב באורך 5 מטר 4K@60HZ אקונומי</t>
  </si>
  <si>
    <t>כבל DP זכר - HDMI זכר 1.8 מ' אקטיבי 4K@144HZ / 8K@60Hz</t>
  </si>
  <si>
    <t>כבל DP זכר - HDMI נקבה 0.2 מ' אקטיבי 4K@144HZ / 8K@60Hz</t>
  </si>
  <si>
    <t>מתאם דמי DISPLAYPORT DUMMY PLUG תומך 4K@60HZ</t>
  </si>
  <si>
    <t>כבל USB3.0 מאריך אקטיבי 5 מטר + כניסה לשנאי 3.5/1.35</t>
  </si>
  <si>
    <t>כבל USB3.0 מאריך אקטיבי 10 מטר + כניסה לשנאי 3.5/1.35</t>
  </si>
  <si>
    <t>כבל USB3.0 מאריך אקטיבי 15 מטר + כניסה לשנאי 3.5/1.35</t>
  </si>
  <si>
    <t>כבל USB3.0 מאריך אקטיבי 20 מטר + כניסה לשנאי 3.5/1.35</t>
  </si>
  <si>
    <t>כבל USB3.2 GEN2 10GBPS מאריך 10 מטר, מבוסס סיב אופטי</t>
  </si>
  <si>
    <t>כבל USB3.2 GEN2 10GBPS מאריך 15 מטר, מבוסס סיב אופטי</t>
  </si>
  <si>
    <t>כבל USB3.2 GEN2 10GBPS מאריך 20 מטר, מבוסס סיב אופטי</t>
  </si>
  <si>
    <t>כבל USB3.2 GEN2 10GBPS מאריך 30 מטר, מבוסס סיב אופטי</t>
  </si>
  <si>
    <t>כבל USB 4.0 CM - CM 40GBPS 240W באורך 0.5 מטר</t>
  </si>
  <si>
    <t>כבל USB 4.0 CM - CM 40GBPS 240W באורך 1 מטר</t>
  </si>
  <si>
    <t>כבל USB 4.0 CM - CM 40GBPS 240W באורך 1.5 מטר</t>
  </si>
  <si>
    <t>כבל USB 4.0 CM - CM 40GBPS 240W באורך 2 מטר</t>
  </si>
  <si>
    <t>מתאם USB C ל-HDMI נקבה תומך 4K@144HZ / 8K@60Hz</t>
  </si>
  <si>
    <t>מתאם USB C ל-DP נקבה תומך 4K@144HZ / 8K@60Hz</t>
  </si>
  <si>
    <t>כבל USB C ל-HDMI זכר 1.8מ' 4K@144HZ / 8K@60Hz</t>
  </si>
  <si>
    <t>כבל USB C ל-DP זכר 1.8מ' דו-כיווני 4K@144HZ / 8K@60Hz</t>
  </si>
  <si>
    <t>מתאם USB C ל-USB3.0 + USB3.1-C + HDMI, תומך NINTENDO</t>
  </si>
  <si>
    <t>תחנת עגינה ל-2 כוננים 2.5"/3.5" SATA בחיבור USB-C 10Gbps</t>
  </si>
  <si>
    <t>מתאם גרפי USB3.0 - HDMI לחיבור מסך למחשב, תומך אודיו</t>
  </si>
  <si>
    <t>רכזת USB3.0 עם 4 פורט + כניסה לשנאי 3.5/1.35</t>
  </si>
  <si>
    <t>רכזת USB3.0 עם 4 פורטים + כפתורים + כניסה לשנאי 3.5/1.35</t>
  </si>
  <si>
    <t>רכזת USB3.0 עם 7 פורטים + כפתורים + כניסה לשנאי 3.5/1.35</t>
  </si>
  <si>
    <t>רכזת USB3.0 עם 10 פורטים + כבל 1מ +כניסה לשנאי 5V2A 3.5/1.35</t>
  </si>
  <si>
    <t>כבל USB LIGHTNING איכותי באורך 1.8 מטר</t>
  </si>
  <si>
    <t>כבל מתח C13-C14 ז-נ תיקני 3x0.75 באורך 1.2מ כחול</t>
  </si>
  <si>
    <t>כבל מתח C13-C14 ז-נ תיקני 3x0.75 באורך 1.2מ אדום</t>
  </si>
  <si>
    <t>כבל מתח C13-C14 ז-נ תיקני 3x0.75 באורך 1.8מ כחול</t>
  </si>
  <si>
    <t>כבל מתח C13-C14 ז-נ תיקני 3x0.75 באורך 1.8מ אדום</t>
  </si>
  <si>
    <t>קונקטורים, מתאמים ומפצלים לחשמל</t>
  </si>
  <si>
    <t>מפצל לאל פסק, תקע קומקום C14 ל-2 שקע ישראלי</t>
  </si>
  <si>
    <t>מפצל לאל פסק, תקע קומקום C14 ל-3 שקע ישראלי</t>
  </si>
  <si>
    <t>מפצל לאל פסק, תקע קומקום C14 ל-4 שקע ישראלי</t>
  </si>
  <si>
    <t>מפצל לאל פסק, תקע C20 ל-3 שקע ישראלי</t>
  </si>
  <si>
    <t>מפצל לאל פסק, תקע C20 ל-4 שקע ישראלי</t>
  </si>
  <si>
    <t>מפצל לגנרטור מתקע גרמני ל-3 שקע ישראלי</t>
  </si>
  <si>
    <t>מתאם ננעל משקע בריטי לתקע ישראלי תלת פיני שחור, תיקני</t>
  </si>
  <si>
    <t>כבל מתח מיקי מאוס C5 לאירופאי/גרמני באורך סטנדרט</t>
  </si>
  <si>
    <t>כבל מתח מיקי מאוס C5 לבריטי אורך סטנדרט</t>
  </si>
  <si>
    <t>כבל מתח מיקי מאוס C5 לאמריקאי באורך 4 מטר</t>
  </si>
  <si>
    <t>כבלים במטר רץ (גלילים)</t>
  </si>
  <si>
    <t>כבלי רמקול TOPX</t>
  </si>
  <si>
    <t>כבלים שונים בגלילים</t>
  </si>
  <si>
    <t>פלג+אינסרט</t>
  </si>
  <si>
    <t>תקע RJ45 FTP CAT7 דגם PASS THROUGH + אינסרט</t>
  </si>
  <si>
    <t>גומי BOOT ירוק לקונקטור RJ45 לכבל CAT7</t>
  </si>
  <si>
    <t>קיסטון CAT6a RJ45 מסוכך (קרונה) HQ</t>
  </si>
  <si>
    <t>תקע RJ45 CAT6a/CAT7 מסוכך TOOLLES קצר</t>
  </si>
  <si>
    <t>כבל USB זכר - DC 5.5/2.1 באורך 1.5מ'</t>
  </si>
  <si>
    <t>פנלים, קופסאות חיבורים וקלוז'ורים</t>
  </si>
  <si>
    <t>פנלים לפס דין</t>
  </si>
  <si>
    <t>פס שקעים 12xC13 1U + מאמ"ת + כבל 3מ ישראלי</t>
  </si>
  <si>
    <t>קלוז'רים לסיבים אופטיים</t>
  </si>
  <si>
    <t>תרסיס ניקוי מגעים יבש 220 מ"ל</t>
  </si>
  <si>
    <t>מטען USB לקיר 5 וולט 1 אמפר</t>
  </si>
  <si>
    <t>מטען USB מהיר לקיר עם 2 יציאות A+C תומך PD 20W</t>
  </si>
  <si>
    <t>ספק כוח 220V ל-9V 1A, תקע 5.5/2.1-2.5</t>
  </si>
  <si>
    <t>ספק כוח 220V ל-12V 1.5A, תקע 5.5/2.1</t>
  </si>
  <si>
    <t>ספק כוח 220V איכותי ל-12V 2A, תקע 5.5/2.1-2.5</t>
  </si>
  <si>
    <t>ספק כוח 220V איכותי ל-12V 3A, תקע 5.5/2.1-2.5</t>
  </si>
  <si>
    <t>9518442740848</t>
  </si>
  <si>
    <t>9518442740503</t>
  </si>
  <si>
    <t>9518442740510</t>
  </si>
  <si>
    <t>9518442740527</t>
  </si>
  <si>
    <t>9518442740534</t>
  </si>
  <si>
    <t>9518442740541</t>
  </si>
  <si>
    <t>9518442740558</t>
  </si>
  <si>
    <t>9518442740565</t>
  </si>
  <si>
    <t>9518442740572</t>
  </si>
  <si>
    <t>9518442740459</t>
  </si>
  <si>
    <t>9518442740466</t>
  </si>
  <si>
    <t>9518442740473</t>
  </si>
  <si>
    <t>9518442740480</t>
  </si>
  <si>
    <t>9518442740497</t>
  </si>
  <si>
    <t>9518442740589</t>
  </si>
  <si>
    <t>9518442740596</t>
  </si>
  <si>
    <t>9518442740602</t>
  </si>
  <si>
    <t>9518442740152</t>
  </si>
  <si>
    <t>0</t>
  </si>
  <si>
    <t>9518442740329</t>
  </si>
  <si>
    <t>9518442740404</t>
  </si>
  <si>
    <t>9518442740411</t>
  </si>
  <si>
    <t>9518442740336</t>
  </si>
  <si>
    <t>9518442740268</t>
  </si>
  <si>
    <t>9518442740343</t>
  </si>
  <si>
    <t>9518442739781</t>
  </si>
  <si>
    <t>9518442740732</t>
  </si>
  <si>
    <t>9518442718113</t>
  </si>
  <si>
    <t>9518442740206</t>
  </si>
  <si>
    <t>9518442740824</t>
  </si>
  <si>
    <t>9518442740817</t>
  </si>
  <si>
    <t>9518442740831</t>
  </si>
  <si>
    <t>9518442740398</t>
  </si>
  <si>
    <t>9518442740664</t>
  </si>
  <si>
    <t>9518442740176</t>
  </si>
  <si>
    <t>9518442740909</t>
  </si>
  <si>
    <t>9518442740893</t>
  </si>
  <si>
    <t>9518442739378</t>
  </si>
  <si>
    <t>9518442739385</t>
  </si>
  <si>
    <t>9518442740763</t>
  </si>
  <si>
    <t>9518442740756</t>
  </si>
  <si>
    <t>9518442740749</t>
  </si>
  <si>
    <t>9518442740671</t>
  </si>
  <si>
    <t>9518442740183</t>
  </si>
  <si>
    <t>9518442740190</t>
  </si>
  <si>
    <t>9518442735738</t>
  </si>
  <si>
    <t>9518442736339</t>
  </si>
  <si>
    <t>9518442736346</t>
  </si>
  <si>
    <t>9518442740855</t>
  </si>
  <si>
    <t>9518442740695</t>
  </si>
  <si>
    <t>9518442740718</t>
  </si>
  <si>
    <t>9518442740701</t>
  </si>
  <si>
    <t>9518442740725</t>
  </si>
  <si>
    <t>9518442740688</t>
  </si>
  <si>
    <t>9518442740367</t>
  </si>
  <si>
    <t>9518442740350</t>
  </si>
  <si>
    <t>9518442740381</t>
  </si>
  <si>
    <t>9518442740374</t>
  </si>
  <si>
    <t>9518442740220</t>
  </si>
  <si>
    <t>9518442740237</t>
  </si>
  <si>
    <t>9518442740244</t>
  </si>
  <si>
    <t>9518442740251</t>
  </si>
  <si>
    <t>9518442740275</t>
  </si>
  <si>
    <t>9518442719851</t>
  </si>
  <si>
    <t>9518442719592</t>
  </si>
  <si>
    <t>9518442740800</t>
  </si>
  <si>
    <t>9518442719158</t>
  </si>
  <si>
    <t>9518442740121</t>
  </si>
  <si>
    <t>9518442740169</t>
  </si>
  <si>
    <t>9518442740886</t>
  </si>
  <si>
    <t>9518442740619</t>
  </si>
  <si>
    <t>9518442740626</t>
  </si>
  <si>
    <t>9518442740633</t>
  </si>
  <si>
    <t>9518442740640</t>
  </si>
  <si>
    <t>9518442740657</t>
  </si>
  <si>
    <t>9518442740770</t>
  </si>
  <si>
    <t>9518442740787</t>
  </si>
  <si>
    <t>9518442740794</t>
  </si>
  <si>
    <t>9518442721519</t>
  </si>
  <si>
    <t>9518442740145</t>
  </si>
  <si>
    <t>9518442740947</t>
  </si>
  <si>
    <t>9518442740442</t>
  </si>
  <si>
    <t>9518442740305</t>
  </si>
  <si>
    <t>9518442740312</t>
  </si>
  <si>
    <t>9518442740282</t>
  </si>
  <si>
    <t>9518442738357</t>
  </si>
  <si>
    <t>9518442740435</t>
  </si>
  <si>
    <t>אום כלוב עם בורג M6 ושייבה לפנל ארון</t>
  </si>
  <si>
    <t>מגשרים RJ45 CAT8</t>
  </si>
  <si>
    <t>מגשר מסוכך CAT8 נחושת 0.15 מטר אפור</t>
  </si>
  <si>
    <t>מגשר מסוכך CAT8 נחושת 0.2 מטר אפור</t>
  </si>
  <si>
    <t>מגשר מסוכך CAT8 נחושת 0.25 מטר אפור</t>
  </si>
  <si>
    <t>מגשר מסוכך CAT8 נחושת 0.3 מטר אפור</t>
  </si>
  <si>
    <t>מגשר מסוכך CAT8 נחושת 0.5 מטר אפור</t>
  </si>
  <si>
    <t>מגשר מסוכך CAT8 נחושת 1 מטר אפור</t>
  </si>
  <si>
    <t>מגשר מסוכך CAT8 נחושת 1.5 מטר אפור</t>
  </si>
  <si>
    <t>מגשר מסוכך CAT8 נחושת 2 מטר אפור</t>
  </si>
  <si>
    <t>מגשר מסוכך CAT8 נחושת 2.5 מטר אפור</t>
  </si>
  <si>
    <t>מגשר מסוכך CAT8 נחושת 3 מטר אפור</t>
  </si>
  <si>
    <t>מגשר מסוכך CAT8 נחושת 5 מטר אפור</t>
  </si>
  <si>
    <t>מגשר מסוכך CAT8 נחושת 7.5 מטר אפור</t>
  </si>
  <si>
    <t>מגשר מסוכך CAT8 נחושת 10 מטר אפור</t>
  </si>
  <si>
    <t>מגשר מסוכך CAT8 נחושת 15 מטר אפור</t>
  </si>
  <si>
    <t>מגשר מסוכך CAT8 נחושת 20 מטר אפור</t>
  </si>
  <si>
    <t>מגשר מסוכך CAT8 נחושת 25 מטר אפור</t>
  </si>
  <si>
    <t>מגשר מסוכך CAT8 נחושת 30 מטר אפור</t>
  </si>
  <si>
    <t>מגשר מסוכך CAT8 נחושת 40 מטר אפור</t>
  </si>
  <si>
    <t>מגשר מסוכך CAT8 נחושת 50 מטר אפור</t>
  </si>
  <si>
    <t>כבל לבן מסולסל לשפופרת טלפון באורך 0.4מ, נמתח עד 3מ</t>
  </si>
  <si>
    <t>כבל קצר RJ45 זכר זוויתי - RJ45 נקבה (הלאץ' פונה לכיוון הכבל)</t>
  </si>
  <si>
    <t>מגשר SM דופלקס LC-FC אורך 1מ</t>
  </si>
  <si>
    <t>מגשר SM סימפלקס LC/APC-SC/UPC אורך 1מ</t>
  </si>
  <si>
    <t>מגשר SM סימפלקס LC/APC-SC/UPC אורך 2מ</t>
  </si>
  <si>
    <t>מגשר MM OM3 דופלקס LC-FC אורך 1מ</t>
  </si>
  <si>
    <t>כבל MTP F-F TYPE B 12*OM3-300 באורך 1 מטר</t>
  </si>
  <si>
    <t>כבל טקטי על גלגלת עם 8 סיבים MM OM3 מחברי LC באורך 100מ</t>
  </si>
  <si>
    <t>מתאם LC/UPC OM4 דופלקס נ-נ עם אוזניים לפאנל, ורוד</t>
  </si>
  <si>
    <t>מתאם LC/UPC OM4 קוואד נ-נ לפאנל, ורוד</t>
  </si>
  <si>
    <t>טרנסיבר SFP28 ל-SR 25G 850nm MM 150M תואם CISCO/MSA</t>
  </si>
  <si>
    <t>טרנסיבר SFP ל-1G RJ45 ל-100 מטר תואם CISCO/MSA</t>
  </si>
  <si>
    <t>מפצל HDMI 2.0 ל-2 יציאות 4K@60HZ 4:4:4 HDR HDCP2.2</t>
  </si>
  <si>
    <t>מפצל HDMI 2.0 ל-4 יציאות 4K@60HZ 4:4:4 HDR HDCP2.2</t>
  </si>
  <si>
    <t>מפצל HDMI 2.0 ל-8 יציאות 4K@60HZ 4:4:4 HDR HDCP2.2</t>
  </si>
  <si>
    <t>מטריצה HDMI 2.0 18G 4K@60HZ 4 IN 2 OUT + אודיו + שלט</t>
  </si>
  <si>
    <t>כבל ממיר HDMI TO VGA+AUDIO בשקית תלייה (מסך VGA), אקונומי</t>
  </si>
  <si>
    <t>בלון אודיו RJ45 נ - PL3.5 סט ז, צד אחד, תואם AUDIO-EX1/2</t>
  </si>
  <si>
    <t>בלון אודיו RJ45 נ - 2xRCA ז, צד אחד, תואם AUDIO-EX1/2</t>
  </si>
  <si>
    <t>בלון אודיו RJ45 נ - PL3.5 סט ז, צד אחד, תואם AUDIO-EX15/25</t>
  </si>
  <si>
    <t>בלון אודיו RJ45 נ - 2xRCA ז, צד אחד, תואם AUDIO-EX15/25</t>
  </si>
  <si>
    <t>מרחיק אודיו דיגיטלי אופטי/קואקס על כבל רשת עד 150מ, תומך POC</t>
  </si>
  <si>
    <t>מתג מתכתי KVM 2:1 VGA+AUDIO+USB עם כבלים</t>
  </si>
  <si>
    <t>מתג KVM 2:1 אוטומטי HDMI 4K@60HZ + USB2.0 עם ספק, שלט וכבלים</t>
  </si>
  <si>
    <t>מתג KVM 4:1 אוטומטי HDMI 4K@60HZ + USB2.0 עם ספק, שלט וכבלים</t>
  </si>
  <si>
    <t>מרחיק KVM HDMI+USB+IR על CAT6 עד 60 מטר 4K@60HZ, עם POC</t>
  </si>
  <si>
    <t>כבל HDMI2.0 מוזהב באורך 0.5 מטר 4K@60HZ אקונומי</t>
  </si>
  <si>
    <t>כבל HDMI2.0 מוזהב באורך 1.5 מטר 4K@60HZ אקונומי</t>
  </si>
  <si>
    <t>כבל HDMI2.0 מוזהב באורך 7.5 מטר 4K@60HZ אקונומי</t>
  </si>
  <si>
    <t>כבל HDMI2.0 מוזהב באורך 10 מטר 4K@60HZ אקונומי</t>
  </si>
  <si>
    <t>כבל HDMI2.1 מוזהב 8K@60HZ באורך 5מ</t>
  </si>
  <si>
    <t>כבל HDMI2.1 מוזהב 8K@60HZ באורך 7.5מ</t>
  </si>
  <si>
    <t>כבל HDMI2.1 מוזהב 8K@60HZ באורך 10מ</t>
  </si>
  <si>
    <t>כבל HDMI2.1 מוזהב ראשי מתכת 8K@60HZ באורך 7.5מ</t>
  </si>
  <si>
    <t>כבל HDMI2.1 מוזהב ראשי מתכת 8K@60HZ באורך 10מ</t>
  </si>
  <si>
    <t>כבל דק HDMI2.0 עובי 4.2 מ"מ, אורך 0.5מ 4K@60HZ</t>
  </si>
  <si>
    <t>כבל דק HDMI2.0 עובי 4.2 מ"מ, אורך 1מ 4K@60HZ</t>
  </si>
  <si>
    <t>כבל דק HDMI2.0 עובי 4.2 מ"מ, אורך 2מ 4K@60HZ</t>
  </si>
  <si>
    <t>כבל דק HDMI עובי 4.2 מ"מ, אורך 3מ  4K@30HZ</t>
  </si>
  <si>
    <t>כבל דק HDMI עובי 4.2 מ"מ, אורך 5מ  4K@30HZ</t>
  </si>
  <si>
    <t>כבל HDMI2.0 AOC באורך 10 מטר 18GBPS 4K@60HZ 4:4:4 HDR ARC</t>
  </si>
  <si>
    <t>כבל HDMI2.0 AOC באורך 15 מטר 18GBPS 4K@60HZ 4:4:4 HDR ARC</t>
  </si>
  <si>
    <t>כבל HDMI2.0 AOC באורך 20 מטר 18GBPS 4K@60HZ 4:4:4 HDR ARC</t>
  </si>
  <si>
    <t>כבל HDMI2.0 AOC באורך 25 מטר 18GBPS 4K@60HZ 4:4:4 HDR ARC</t>
  </si>
  <si>
    <t>כבל HDMI2.0 AOC באורך 30 מטר 18GBPS 4K@60HZ 4:4:4 HDR ARC</t>
  </si>
  <si>
    <t>כבל HDMI2.0 AOC באורך 40 מטר 18GBPS 4K@60HZ 4:4:4 HDR ARC</t>
  </si>
  <si>
    <t>כבל HDMI2.0 AOC באורך 50 מטר 18GBPS 4K@60HZ 4:4:4 HDR ARC</t>
  </si>
  <si>
    <t>כבל HDMI2.0 AOC ראש נתיק 10 מ' 18GBPS 4K@60HZ 4:4:4 HDR ARC</t>
  </si>
  <si>
    <t>כבל HDMI2.0 AOC ראש נתיק 15 מ' 18GBPS 4K@60HZ 4:4:4 HDR ARC</t>
  </si>
  <si>
    <t>כבל HDMI2.0 AOC ראש נתיק 20 מ' 18GBPS 4K@60HZ 4:4:4 HDR ARC</t>
  </si>
  <si>
    <t>כבל HDMI2.0 AOC ראש נתיק 25 מ' 18GBPS 4K@60HZ 4:4:4 HDR ARC</t>
  </si>
  <si>
    <t>כבל HDMI2.0 AOC ראש נתיק 30 מ' 18GBPS 4K@60HZ 4:4:4 HDR ARC</t>
  </si>
  <si>
    <t>כבל HDMI2.1 AOC מקצועי 10מ 48GBPS 8K@60HZ 4:4:4 HDR eARC</t>
  </si>
  <si>
    <t>כבל HDMI2.1 AOC מקצועי 15מ 48GBPS 8K@60HZ 4:4:4 HDR eARC</t>
  </si>
  <si>
    <t>כבל HDMI2.1 AOC מקצועי 20מ 48GBPS 8K@60HZ 4:4:4 HDR eARC</t>
  </si>
  <si>
    <t>כבל HDMI2.1 AOC מקצועי 30מ 48GBPS 8K@60HZ 4:4:4 HDR eARC</t>
  </si>
  <si>
    <t>כבל HDMI2.1 AOC מקצועי 40מ 48GBPS 8K@60HZ 4:4:4 HDR eARC</t>
  </si>
  <si>
    <t>כבל HDMI2.1 AOC מקצועי 50מ 48GBPS 8K@60HZ 4:4:4 HDR eARC</t>
  </si>
  <si>
    <t>כבל HDMI2.1 AOC מקצועי 75מ 48GBPS 8K@60HZ 4:4:4 HDR eARC</t>
  </si>
  <si>
    <t>כבל HDMI2.1 AOC מקצועי 100מ 48GBPS 8K@60HZ 4:4:4 HDR eARC</t>
  </si>
  <si>
    <t>כבל HDMI2.1 AOC באורך 10 מטר 48GBPS 8K@60HZ 4:4:4 HDR eARC</t>
  </si>
  <si>
    <t>כבל HDMI2.1 AOC באורך 15 מטר 48GBPS 8K@60HZ 4:4:4 HDR eARC</t>
  </si>
  <si>
    <t>כבל HDMI2.1 AOC באורך 20 מטר 48GBPS 8K@60HZ 4:4:4 HDR eARC</t>
  </si>
  <si>
    <t>כבל HDMI2.1 AOC באורך 25 מטר 48GBPS 8K@60HZ 4:4:4 HDR eARC</t>
  </si>
  <si>
    <t>כבל HDMI2.1 AOC באורך 30 מטר 48GBPS 8K@60HZ 4:4:4 HDR eARC</t>
  </si>
  <si>
    <t>כבל HDMI2.1 AOC באורך 40 מטר 48GBPS 8K@60HZ 4:4:4 HDR eARC</t>
  </si>
  <si>
    <t>כבל HDMI2.1 AOC באורך 50 מטר 48GBPS 8K@60HZ 4:4:4 HDR eARC</t>
  </si>
  <si>
    <t>כבל HDMI2.1 AOC ראש נתיק 5 מ' 48GBPS 8K@60HZ 4:4:4 HDR eARC</t>
  </si>
  <si>
    <t>כבל HDMI2.1 AOC ראש נתיק 7.5מ' 48GBPS 8K@60HZ 4:4:4 HDR eARC</t>
  </si>
  <si>
    <t>כבל HDMI2.1 AOC ראש נתיק 10 מ' 48GBPS 8K@60HZ 4:4:4 HDR eARC</t>
  </si>
  <si>
    <t>כבל HDMI2.1 AOC ראש נתיק 15 מ' 48GBPS 8K@60HZ 4:4:4 HDR eARC</t>
  </si>
  <si>
    <t>כבל HDMI2.1 AOC ראש נתיק 20 מ' 48GBPS 8K@60HZ 4:4:4 HDR eARC</t>
  </si>
  <si>
    <t>כבל HDMI2.1 AOC ראש נתיק 25 מ' 48GBPS 8K@60HZ 4:4:4 HDR eARC</t>
  </si>
  <si>
    <t>כבל HDMI2.1 AOC ראש נתיק 30 מ' 48GBPS 8K@60HZ 4:4:4 HDR eARC</t>
  </si>
  <si>
    <t>כבל HDMI2.1 AOC ראש נתיק 40 מ' 48GBPS 8K@60HZ 4:4:4 HDR eARC</t>
  </si>
  <si>
    <t>כבל HDMI2.1 AOC ראש נתיק 50 מ' 48GBPS 8K@60HZ 4:4:4 HDR eARC</t>
  </si>
  <si>
    <t>כבל DISPLAYPORT 1.4 ז-ז באורך1מ' 8K@60HZ</t>
  </si>
  <si>
    <t>כבל מתאם MINI DP זכר - DP נקבה 0.2M תומך 8K@60HZ</t>
  </si>
  <si>
    <t>כבל USB2.0 למדפסת A-B אקטיבי 15 מטר  AM-BM</t>
  </si>
  <si>
    <t>כבל USB 3.0 A-B באורך 1.5 מטר</t>
  </si>
  <si>
    <t>כבל USB3.0 מאריך אקטיבי 5 מטר + כניסה לשנאי USB C, אקונומי</t>
  </si>
  <si>
    <t>כבל USB3.0 מאריך אקטיבי 10 מטר + כניסה לשנאי USB C, אקונומי</t>
  </si>
  <si>
    <t>כבל USB3.0 מאריך אקטיבי 15 מטר + כניסה לשנאי USB C, אקונומי</t>
  </si>
  <si>
    <t>כבל USB3.0 מאריך 10 מטר, מבוסס סיב אופטי</t>
  </si>
  <si>
    <t>כבל USB3.0 מאריך 50 מטר, מבוסס סיב אופטי</t>
  </si>
  <si>
    <t>כבל USB3.2 GEN1 5GBPS מאריך 50 מטר, מבוסס סיב אופטי</t>
  </si>
  <si>
    <t>כבל USB3.2 GEN2 CM-CM 10Gbps 100W 4K@60HZ 0.5M</t>
  </si>
  <si>
    <t>כבל USB3.2 GEN2 CM-CM 10Gbps 100W 4K@60HZ 1M</t>
  </si>
  <si>
    <t>כבל USB3.2 GEN2 CM-CM 10Gbps 100W 4K@60HZ 1.5M</t>
  </si>
  <si>
    <t>כבל USB3.2 GEN2 CM-CM 10Gbps 100W 4K@60HZ 2M</t>
  </si>
  <si>
    <t>כבל USB3.2 GEN2 CM-CM 10Gbps 100W 4K@60HZ 3M</t>
  </si>
  <si>
    <t>כבל USB3.2 GEN2 CM-CM 10Gbps 60W 4K@60HZ 5M</t>
  </si>
  <si>
    <t>כבל מאריך USB3.2 GEN2 CM-CF 10Gbps 100W 4K@60HZ 0.5M</t>
  </si>
  <si>
    <t>כבל מאריך USB3.2 GEN2 CM-CF 10Gbps 100W 4K@60HZ 1M</t>
  </si>
  <si>
    <t>כבל מאריך USB3.2 GEN2 CM-CF 10Gbps 100W 4K@60HZ 2M</t>
  </si>
  <si>
    <t>כבל מאריך USB3.2 GEN2 CM-CF 10Gbps 100W 4K@60HZ 3M</t>
  </si>
  <si>
    <t>כבל מאריך USB3.2 GEN2 CM-CF 10Gbps 100W 4K@60HZ 5M</t>
  </si>
  <si>
    <t>כבל USB 4.0 CM - CM 40GBPS 100W באורך 3 מטר</t>
  </si>
  <si>
    <t>כבל USB 4.0 CM - CM 20GBPS 60W באורך 5 מטר</t>
  </si>
  <si>
    <t>כבל USB3.2 5G 15W תקע C זכר - C זכר 0.25מ דאטה וטעינה בלבד</t>
  </si>
  <si>
    <t>כבל USB3.2 5G 15W תקע C זכר - C זכר 0.5מ דאטה וטעינה בלבד</t>
  </si>
  <si>
    <t>כבל USB3.2 5G 15W תקע C זכר - C זכר 1מ דאטה וטעינה בלבד</t>
  </si>
  <si>
    <t>כבל USB3.2 5G 15W תקע C זכר - C זכר 1.5מ דאטה וטעינה בלבד</t>
  </si>
  <si>
    <t>כבל USB3.2 5G 15W תקע C זכר - C זכר 2מ דאטה וטעינה בלבד</t>
  </si>
  <si>
    <t>כבל USB3.2 5G 15W תקע C זכר - C זכר 3מ דאטה וטעינה בלבד</t>
  </si>
  <si>
    <t>כבל USB3.2 5G 15W תקע C זכר - C זכר 5מ דאטה וטעינה בלבד</t>
  </si>
  <si>
    <t>כבל USB2.0 תקע C זכר - A זכר 1 מטר</t>
  </si>
  <si>
    <t>כבל USB2.0 תקע C זכר - A זכר 2 מטר</t>
  </si>
  <si>
    <t>כבל USB3.2 5Gbps תקע C זכר - A זכר 0.2 מטר</t>
  </si>
  <si>
    <t>כבל USB3.2 5Gbps תקע C זכר - A זכר 0.5 מטר</t>
  </si>
  <si>
    <t>כבל USB3.2 5Gbps תקע C זכר - A זכר 1 מטר</t>
  </si>
  <si>
    <t>כבל USB3.2 5Gbps תקע C זכר - A זכר 1.5 מטר</t>
  </si>
  <si>
    <t>כבל USB3.2 5Gbps תקע C זכר - A זכר 2 מטר</t>
  </si>
  <si>
    <t>כבל USB3.2 5Gbps תקע C זכר - A זכר 3 מטר</t>
  </si>
  <si>
    <t>כבל USB3.2 5Gbps תקע C זכר - A זכר 5 מטר</t>
  </si>
  <si>
    <t>כבל USB3.2 5Gbps תקע C זכר זווית ימין - A זכר 2 מטר</t>
  </si>
  <si>
    <t>כבל USB3.2 5Gbps תקע C זכר - A זכר 0.5 מטר, טעינה מהירה</t>
  </si>
  <si>
    <t>כבל USB3.2 5Gbps תקע C זכר - A זכר 1 מטר, טעינה מהירה</t>
  </si>
  <si>
    <t>כבל USB3.2 5Gbps תקע C זכר - A זכר 1.8 מטר, טעינה מהירה</t>
  </si>
  <si>
    <t>כבל USB3.2 5Gbps תקע C זכר - A זכר 3 מטר, טעינה מהירה</t>
  </si>
  <si>
    <t>כבל USB2.0 תקע C זכר- MICRO B 2.0 זכר 1מ</t>
  </si>
  <si>
    <t>כבל USB2.0 תקע C זכר- MICRO B 2.0 זכר 1.8מ</t>
  </si>
  <si>
    <t>כבל USB3.2 5Gbps תקע C זכר - MICRO B 3.0 זכר 0.5מ</t>
  </si>
  <si>
    <t>כבל USB3.2 5Gbps תקע C זכר - MICRO B 3.0 זכר 1מ</t>
  </si>
  <si>
    <t>כבל USB3.2 5Gbps תקע C זכר - MICRO B 3.0 זכר 2מ</t>
  </si>
  <si>
    <t>כבל USB2.0 תקע C זכר -  2.0 B זכר 1.8 מטר</t>
  </si>
  <si>
    <t>כבל USB3.2 5Gbps תקע C זכר -  3.0 B זכר 1 מטר</t>
  </si>
  <si>
    <t>כבל USB2.0 תקע C זכר -  MINI B זכר 1 מטר</t>
  </si>
  <si>
    <t>כבל USB3.2 5Gbps תקע C זכר - A נקבה OTG אורך 0.2 מטר</t>
  </si>
  <si>
    <t>כבל USB2.0 תקע C זכר - MICRO B 2.0 נקבה 0.2 מטר</t>
  </si>
  <si>
    <t>כבל USB3.2 5Gbps מאריך C זכר - C נקבה חיווט מלא, 0.2מ</t>
  </si>
  <si>
    <t>כבל USB3.2 5Gbps מאריך C זכר - C נקבה חיווט מלא, 1מ</t>
  </si>
  <si>
    <t>כבל USB3.2 5Gbps מאריך C זכר - C נקבה חיווט מלא, 2מ</t>
  </si>
  <si>
    <t>כבל USB3.2 5Gbps מאריך C זכר - C נקבה חיווט מלא, 3מ</t>
  </si>
  <si>
    <t>כבל USB3.2 5Gbps מאריך C זכר זוויתי - C נקבה 0.2 מטר</t>
  </si>
  <si>
    <t>כבל USB3.2 5Gbps מאריך C זכר - C נקבה לפנל+ברגים, 0.5מ</t>
  </si>
  <si>
    <t>כבל USB3.2 5Gbps מאריך C זכר - C נקבה לפנל+ברגים, 1מ</t>
  </si>
  <si>
    <t>כבל USB3.2 5Gbps מאריך C זכר - C נקבה לפנל+ברגים, 1.8מ</t>
  </si>
  <si>
    <t>כבל USB3.2 5Gbps נקבה C לפנל+ברגים ל-C נקבה חיווט מלא, 0.2מ</t>
  </si>
  <si>
    <t>מתאם USB C זוויתי זכר-נקבה לצד</t>
  </si>
  <si>
    <t>מתאם USB C זוויתי ז-נ לצד ימין/שמאל, תומך 40G 240W 8K@60HZ</t>
  </si>
  <si>
    <t>מתאם USB C זוויתי ז-נ למעלה/למטה, תומך 40G 240W 8K@60HZ</t>
  </si>
  <si>
    <t>מתאם USB C זוויתי ז-נ לצד דגם צר, תומך 40G 240W 8K@60HZ</t>
  </si>
  <si>
    <t>מתאם כבל קצר USB C ל-HDMI נקבה תומך 4K@30HZ</t>
  </si>
  <si>
    <t>מתאם כבל קצר USB C ל-HDMI נקבה תומך 4K@60HZ, אקונומי</t>
  </si>
  <si>
    <t>מתאם כבל קצר USB C ל-HDMI נקבה תומך 4K@60HZ</t>
  </si>
  <si>
    <t>כבל USB C ל-HDMI זכר 1.8 מטר 4K@60HZ</t>
  </si>
  <si>
    <t>כבל USB C ל-HDMI זכר 2 מטר 4K@60HZ</t>
  </si>
  <si>
    <t>כבל USB C ל-HDMI זכר 3 מטר 4K@60HZ</t>
  </si>
  <si>
    <t>כבל USB C ל-DP זכר 1.8מ' תומך 4K@60HZ</t>
  </si>
  <si>
    <t>מתאם USB C ל- USB-C(PD) + USB3.0 + 2xUSB2.0</t>
  </si>
  <si>
    <t>מתאם USB2.0 ל4 חיבורים סריאליים DB9 זכר צ'יפ FTDI</t>
  </si>
  <si>
    <t>ממיר USB2.0 ל-4 יציאות RS232 דגם ST-LAB U-400 ללא ספק כוח</t>
  </si>
  <si>
    <t>ממיר דו-כיווני RS232 &lt;&gt; RS485</t>
  </si>
  <si>
    <t>ממיר דו-כיווני RS232 &lt;&gt; RS422</t>
  </si>
  <si>
    <t>ממיר RS232 &lt;&gt; RS422/RS485 דו-כיווני עם בידוד אופטי</t>
  </si>
  <si>
    <t>כבל USB3.0 זכר - SATA 22P באורך 0.3מ + כניסה ל-12V2A 5.5/2.1</t>
  </si>
  <si>
    <t>מתאם USB BLUETOOTH V5.3 בבליסטר</t>
  </si>
  <si>
    <t>מתאם גרפי USB3.0 - HDMI לחיבור מסך למחשב, ללא אודיו</t>
  </si>
  <si>
    <t>כבל קונסול USB ז'- RJ45 ז' לסיסקו ואחרים צ'יפ FTDI</t>
  </si>
  <si>
    <t>כבל USB C - LIGHTNING איכותי באורך 1 מטר (מקסימום 20W)</t>
  </si>
  <si>
    <t>כבל מתח "קומקום" C13 לישראלי תיקני 3x0.75 באורך 0.7 מטר</t>
  </si>
  <si>
    <t>כבל כוח "שמינייה" C7 לישראלי דו פיני 2x0.75 תקני 1.5 מטר</t>
  </si>
  <si>
    <t>כבל כוח "שמינייה" C7 לישראלי דו פיני 2x0.75 תקני 1.8 מטר</t>
  </si>
  <si>
    <t>כבל כוח "שמינייה" C7 לישראלי דו פיני 2x0.75 תקני 3 מטר</t>
  </si>
  <si>
    <t>כבל כוח "שמינייה" C7 לישראלי דו פיני 2x0.75 תקני 5 מטר</t>
  </si>
  <si>
    <t>כבל כוח "שמינייה" C7 זוויתי לישראלי דו פיני 2x0.75 תקני 1.8מ</t>
  </si>
  <si>
    <t>כבל כוח "שמינייה" C7 זוויתי לישראלי דו פיני 2x0.75 תקני 3מ</t>
  </si>
  <si>
    <t>כבל כוח "שמינייה" C7 זוויתי לישראלי דו פיני 2x0.75 תקני 5מ</t>
  </si>
  <si>
    <t>כבל מתח מאריך C13-C14 ז-נ תיקני 3x1.5 באורך 0.5 מטר</t>
  </si>
  <si>
    <t>כבל מתח מאריך C13-C14 ז-נ תיקני 3x1.5 באורך 1 מטר</t>
  </si>
  <si>
    <t>כבל מתח מאריך C13-C14 ז-נ תיקני 3x1.5 באורך 1.8 מטר</t>
  </si>
  <si>
    <t>כבל מתח C14-C15 עם שגם תיקני 3x0.75 באורך 0.5 מטר</t>
  </si>
  <si>
    <t>כבל מתח מיקי מאוס C5 לישראלי תיקני 3x0.75 באורך 0.7 מטר</t>
  </si>
  <si>
    <t>מתאם נסיעות אוניברסלי לשימוש בחו"ל, תיקני</t>
  </si>
  <si>
    <t>כבל שמינייה בריטי אורך סטנדרט</t>
  </si>
  <si>
    <t>כבל שמינייה אמריקאי אורך סטנדרט</t>
  </si>
  <si>
    <t>שרוול רשת לאיגוד כבלים עם רוכסן ZIPPER קוטר 25 מ"מ אורך 1.1מ</t>
  </si>
  <si>
    <t>שרוול רשת לאיגוד כבלים עם רוכסן ZIPPER קוטר 25 מ"מ אורך 1.5מ</t>
  </si>
  <si>
    <t>כבל PL 3.5 סטריאו - 2xRCA מוזהב, 5 מטר</t>
  </si>
  <si>
    <t>כבל רשת CAT5e קשיח מסוכך 100מ CCA לא תקני</t>
  </si>
  <si>
    <t>מסתם פלסטיק ריק לשקע קיסטון - שחור</t>
  </si>
  <si>
    <t>מסתם פלסטיק ריק לשקע קיסטון - לבן</t>
  </si>
  <si>
    <t>מתאם לגרנד / עדה-פלסט לשקע קיסטון ריק, לבן</t>
  </si>
  <si>
    <t>מתאם לגרנד / עדה-פלסט לשקע קיסטון ריק, שחור</t>
  </si>
  <si>
    <t>קיסטון CAT6a RJ45 מסוכך מקצועי דמוי 3M (קרונה)</t>
  </si>
  <si>
    <t>פנל 24 פורטים CAT6 מסוכך 1U + קונקטורים (שקעים מובנים)</t>
  </si>
  <si>
    <t>פנל 24 פורטים CAT6a מסוכך 1U + קונקטורים (שקעים מובנים)</t>
  </si>
  <si>
    <t>פנל אופטי 1U ל-24xSC כפול / 24xLC קוואד חורים אופקיים ומספור</t>
  </si>
  <si>
    <t>פנל אופטי 1U ל-12xSC כפול / 12xLC קוואד חורים אופקיים ומספור</t>
  </si>
  <si>
    <t>מתאם לקיסטון לפס דין (לא כולל קיסטון)</t>
  </si>
  <si>
    <t>פנל עיוור 1U מתכתי שחור לארון ''19</t>
  </si>
  <si>
    <t>פנל עיוור 2U מתכתי שחור לארון ''19</t>
  </si>
  <si>
    <t>פנל עיוור 3U מתכתי שחור לארון ''19</t>
  </si>
  <si>
    <t>פנל עיוור 4U מתכתי שחור לארון ''19</t>
  </si>
  <si>
    <t>פנל תעלות אצבע עם מכסה 1U לארון ''19 לסידור כבלים</t>
  </si>
  <si>
    <t>קלוז'ר אופטי כניסה אחת יציאה אחת ל-24 סיבים, מקסימום 96</t>
  </si>
  <si>
    <t>קלוז'ר אופטי כניסה אחת יציאה אחת ל-48 סיבים, מקסימום 96</t>
  </si>
  <si>
    <t>קלוז'ר אופטי כניסה אחת יציאה אחת ל-96 סיבים</t>
  </si>
  <si>
    <t>קלוז'ר אופטי אובלי כניסה אחת 4 יציאות ל-144 סיבים</t>
  </si>
  <si>
    <t>קלוז'ר אופטי אובלי כניסה אחת 4 יציאות ל-144 סיבים, מקס' 288</t>
  </si>
  <si>
    <t>מגש היתוך 12/24 סיבים תואם ל-CLOSURE10/20/30</t>
  </si>
  <si>
    <t>מגש היתוך 12/24 סיבים תואם ל-CLOSURE40</t>
  </si>
  <si>
    <t>מגש היתוך 24/48 סיבים תואם ל-CLOSURE50</t>
  </si>
  <si>
    <t>מתקן הצבה שולחני אלומיניום למסך גובה 36 ס"מ, דגם LDT02-C01</t>
  </si>
  <si>
    <t>מתקן שולחני מפרקי אלומיניום למסך גובה 36 ס"מ, דגם LDT02-C011</t>
  </si>
  <si>
    <t>קופסת חיבורים מתכתית לקיר VGA+HDMI+PL3.5 +ריק</t>
  </si>
  <si>
    <t>קופסת חיבורים מתכתית לקיר VGA+HDMI+PL3.5+USB</t>
  </si>
  <si>
    <t>עמדה שקועה לשולחן 4 מודול לגרנד/עדה-פלסט 153x92 צבע כסוף</t>
  </si>
  <si>
    <t>עמדה שקועה לשולחן 4 מודול לגרנד/עדה-פלסט 153x92 צבע שחור</t>
  </si>
  <si>
    <t>עמדה שקועה לשולחן 8 מודול לגרנד/עדה-פלסט 281x92 צבע כסוף</t>
  </si>
  <si>
    <t>עמדה שקועה לשולחן 8 מודול לגרנד/עדה-פלסט 281x92 צבע שחור</t>
  </si>
  <si>
    <t>עמדה שקועה לשולחן 12 מודול לגרנד/עדה-פלסט 405x92 צבע כסוף</t>
  </si>
  <si>
    <t>עמדה שקועה לשולחן 12 מודול לגרנד/עדה-פלסט 405x92 צבע שחור</t>
  </si>
  <si>
    <t>עמדה שקועה לשולחן 8 מודול פתיחה דו-צדדית 315x135 כסוף</t>
  </si>
  <si>
    <t>עמדה שקועה לשולחן 8 מודול פתיחה דו-צדדית 315x135 שחור</t>
  </si>
  <si>
    <t>עמדה שקועה לשולחן 12 מודול פתיחה דו-צדדית 442x135 כסוף</t>
  </si>
  <si>
    <t>עמדה שקועה לשולחן 12 מודול פתיחה דו-צדדית 442x135 שחור</t>
  </si>
  <si>
    <t>עמדה שקועה לשולחן 8 מודול לגרנד/עדה-פלסט 250x150 צבע שחור</t>
  </si>
  <si>
    <t>עמדה שקועה לשולחן 8 מודול לגרנד/עדה-פלסט 250x150 צבע לבן</t>
  </si>
  <si>
    <t>עמדת טעינה על השולחן קלמרה 2 חשמל + USB A+C, כבל מתח 2 מטר</t>
  </si>
  <si>
    <t>שקע חשמל ישראלי עדה-פלסט לא מחווט לעמדה שקועה לשולחן, שחור</t>
  </si>
  <si>
    <t>שקע חשמל ישראלי עדה-פלסט לא מחווט לעמדה שקועה לשולחן, לבן</t>
  </si>
  <si>
    <t>צבת לחיצה מתכתי לפלגים RJ10/11/12/45</t>
  </si>
  <si>
    <t>צבת לחיצה מתכתי איכותי לפלגים RJ10/11/12/45</t>
  </si>
  <si>
    <t>פנס לייזר VFL 30MW לבדיקת סיבים אופטיים, תואם LC/SC/FC/ST</t>
  </si>
  <si>
    <t>סט כלי עבודה בסיסי לבנייה ותחזוקה של רשת תקשורת</t>
  </si>
  <si>
    <t>צלצלן + בודק כבלים עם תצוגת LCD ו-7 יחידות רחק GOLDTOOL</t>
  </si>
  <si>
    <t>טסטר לבדיקת רציפות לכבלי HDMI</t>
  </si>
  <si>
    <t>ספקי כוח 5/9/12/220V ומטעני USB</t>
  </si>
  <si>
    <t>ספק כוח שולחני איכותי 220V ל-12V 5A + כבל שמינייה</t>
  </si>
  <si>
    <t>מתגים לרשת + POE</t>
  </si>
  <si>
    <t>מתג 4 פורט 10/100 4xPOE + 2xUPLINK דגם DS-3E0106P-E/M</t>
  </si>
  <si>
    <t>מתג רשת GIGA עם 8 פורטים POE וכניסת SFP ו-2 פורטים UPLINK</t>
  </si>
  <si>
    <t>9518442741227</t>
  </si>
  <si>
    <t>9518442741234</t>
  </si>
  <si>
    <t>9518442741241</t>
  </si>
  <si>
    <t>9518442741258</t>
  </si>
  <si>
    <t>9518442741265</t>
  </si>
  <si>
    <t>9518442741272</t>
  </si>
  <si>
    <t>9518442741289</t>
  </si>
  <si>
    <t>9518442741296</t>
  </si>
  <si>
    <t>9518442741302</t>
  </si>
  <si>
    <t>9518442741319</t>
  </si>
  <si>
    <t>9518442741326</t>
  </si>
  <si>
    <t>9518442741333</t>
  </si>
  <si>
    <t>9518442741340</t>
  </si>
  <si>
    <t>9518442741357</t>
  </si>
  <si>
    <t>9518442741364</t>
  </si>
  <si>
    <t>9518442741371</t>
  </si>
  <si>
    <t>9518442741388</t>
  </si>
  <si>
    <t>9518442741395</t>
  </si>
  <si>
    <t>9518442741401</t>
  </si>
  <si>
    <t>9518442741593</t>
  </si>
  <si>
    <t>9518442741586</t>
  </si>
  <si>
    <t>9518442740954</t>
  </si>
  <si>
    <t>9518442740961</t>
  </si>
  <si>
    <t>9518442741579</t>
  </si>
  <si>
    <t>9518442741708</t>
  </si>
  <si>
    <t>9518442741722</t>
  </si>
  <si>
    <t>9518442741692</t>
  </si>
  <si>
    <t>9518442741609</t>
  </si>
  <si>
    <t>9518442741111</t>
  </si>
  <si>
    <t>9518442740916</t>
  </si>
  <si>
    <t>9518442741739</t>
  </si>
  <si>
    <t>9518442741630</t>
  </si>
  <si>
    <t>9518442742163</t>
  </si>
  <si>
    <t>9518442741517</t>
  </si>
  <si>
    <t>9518442741524</t>
  </si>
  <si>
    <t>9518442742088</t>
  </si>
  <si>
    <t>9518442723780</t>
  </si>
  <si>
    <t>9518442741746</t>
  </si>
  <si>
    <t>9518442741753</t>
  </si>
  <si>
    <t>9518442741975</t>
  </si>
  <si>
    <t>9518442741456</t>
  </si>
  <si>
    <t>9518442741425</t>
  </si>
  <si>
    <t>9518442742026</t>
  </si>
  <si>
    <t>9518442741494</t>
  </si>
  <si>
    <t>9518442741500</t>
  </si>
  <si>
    <t>9518442740978</t>
  </si>
  <si>
    <t>9518442740985</t>
  </si>
  <si>
    <t>9518442740992</t>
  </si>
  <si>
    <t>9518442741005</t>
  </si>
  <si>
    <t>9518442741012</t>
  </si>
  <si>
    <t>9518442742149</t>
  </si>
  <si>
    <t>9518442742156</t>
  </si>
  <si>
    <t>9518442742033</t>
  </si>
  <si>
    <t>9518442741548</t>
  </si>
  <si>
    <t>9518442742057</t>
  </si>
  <si>
    <t>9518442729263</t>
  </si>
  <si>
    <t>9518442729300</t>
  </si>
  <si>
    <t>9518442741050</t>
  </si>
  <si>
    <t>9518442742095</t>
  </si>
  <si>
    <t>9518442742101</t>
  </si>
  <si>
    <t>9518442742118</t>
  </si>
  <si>
    <t>9518442742125</t>
  </si>
  <si>
    <t>9518442742132</t>
  </si>
  <si>
    <t>9518442741067</t>
  </si>
  <si>
    <t>9518442741074</t>
  </si>
  <si>
    <t>9518442742040</t>
  </si>
  <si>
    <t>9518442741159</t>
  </si>
  <si>
    <t>9518442741166</t>
  </si>
  <si>
    <t>9518442741173</t>
  </si>
  <si>
    <t>9518442741197</t>
  </si>
  <si>
    <t>9518442741647</t>
  </si>
  <si>
    <t>9518442741180</t>
  </si>
  <si>
    <t>9518442741654</t>
  </si>
  <si>
    <t>9518442741661</t>
  </si>
  <si>
    <t>9518442740930</t>
  </si>
  <si>
    <t>9518442741487</t>
  </si>
  <si>
    <t>9518442741678</t>
  </si>
  <si>
    <t>9518442714313</t>
  </si>
  <si>
    <t>9518442741036</t>
  </si>
  <si>
    <t>9518442741685</t>
  </si>
  <si>
    <t>9518442741142</t>
  </si>
  <si>
    <t>9518442741890</t>
  </si>
  <si>
    <t>9518442742187</t>
  </si>
  <si>
    <t>9518442742194</t>
  </si>
  <si>
    <t>9518442742200</t>
  </si>
  <si>
    <t>9518442741029</t>
  </si>
  <si>
    <t>9518442741968</t>
  </si>
  <si>
    <t>9518442733482</t>
  </si>
  <si>
    <t>9518442742019</t>
  </si>
  <si>
    <t>9518442742002</t>
  </si>
  <si>
    <t>9518442718939</t>
  </si>
  <si>
    <t>9518442741623</t>
  </si>
  <si>
    <t>9518442741616</t>
  </si>
  <si>
    <t>9518442742170</t>
  </si>
  <si>
    <t>9518442741913</t>
  </si>
  <si>
    <t>9518442742064</t>
  </si>
  <si>
    <t>9518442742071</t>
  </si>
  <si>
    <t>9518442741128</t>
  </si>
  <si>
    <t>9518442741135</t>
  </si>
  <si>
    <t>9518442741449</t>
  </si>
  <si>
    <t>9518442742309</t>
  </si>
  <si>
    <t>9518442742224</t>
  </si>
  <si>
    <t>9518442742316</t>
  </si>
  <si>
    <t>9518442742231</t>
  </si>
  <si>
    <t>9518442742323</t>
  </si>
  <si>
    <t>9518442742248</t>
  </si>
  <si>
    <t>9518442742330</t>
  </si>
  <si>
    <t>9518442742255</t>
  </si>
  <si>
    <t>9518442742347</t>
  </si>
  <si>
    <t>9518442742262</t>
  </si>
  <si>
    <t>9518442742279</t>
  </si>
  <si>
    <t>9518442742354</t>
  </si>
  <si>
    <t>9518442742286</t>
  </si>
  <si>
    <t>9518442742293</t>
  </si>
  <si>
    <t>9518442742361</t>
  </si>
  <si>
    <t>9518442741760</t>
  </si>
  <si>
    <t>9518442741463</t>
  </si>
  <si>
    <t>9518442725159</t>
  </si>
  <si>
    <t>9518442741081</t>
  </si>
  <si>
    <t>9518442741098</t>
  </si>
  <si>
    <t>9518442741555</t>
  </si>
  <si>
    <t>9518442741937</t>
  </si>
  <si>
    <t>מגשר מסוכך CAT6a נחושת 60 מטר אפור</t>
  </si>
  <si>
    <t>מגשר מסוכך CAT6a נחושת 70 מטר אפור</t>
  </si>
  <si>
    <t>מגשר מסוכך CAT6a נחושת 75 מטר אפור</t>
  </si>
  <si>
    <t>מגשר מסוכך CAT6a נחושת 80 מטר אפור</t>
  </si>
  <si>
    <t>מגשר מסוכך CAT6a נחושת 90 מטר אפור</t>
  </si>
  <si>
    <t>מגשר מסוכך CAT6a נחושת 100 מטר אפור</t>
  </si>
  <si>
    <t>כבל CAT6 FTP BC קצר מ-RJ45 זכר זווית למעלה ל-RJ45 נקבה</t>
  </si>
  <si>
    <t>כבל CAT6 FTP BC קצר מ-RJ45 זכר זווית למטה ל-RJ45 נקבה</t>
  </si>
  <si>
    <t>כבל CAT6 FTP BC קצר מ-RJ45 זכר זווית ימין ל-RJ45 נקבה</t>
  </si>
  <si>
    <t>כבל CAT6 FTP BC קצר מ-RJ45 זכר זווית שמאל ל-RJ45 נקבה</t>
  </si>
  <si>
    <t>מגשר SM דופלקס LC-LC אורך 75מ</t>
  </si>
  <si>
    <t>מגשר SM דופלקס LC-LC אורך 100מ</t>
  </si>
  <si>
    <t>מגשר SM דופלקס ST-SC אורך 10מ</t>
  </si>
  <si>
    <t>מגשר MM OM4 דופלקס LC-LC אורך 25מ</t>
  </si>
  <si>
    <t>כבל MPO F-F TYPE B 12*OM3-300 באורך 1 מטר</t>
  </si>
  <si>
    <t>כבל MPO F-F TYPE B 12*OM3-300 באורך 2 מטר</t>
  </si>
  <si>
    <t>כבל MPO F-F TYPE B 12*OM3-300 באורך 3 מטר</t>
  </si>
  <si>
    <t>כבל MPO F-F TYPE B 12*OM3-300 באורך 5 מטר</t>
  </si>
  <si>
    <t>כבל MPO/APC F-F TYPE B 12*SM באורך 2 מטר</t>
  </si>
  <si>
    <t>כבל MPO/APC F-F TYPE B 12*SM באורך 3 מטר</t>
  </si>
  <si>
    <t>כבל MPO/APC F-F TYPE B 12*SM באורך 5 מטר</t>
  </si>
  <si>
    <t>כבל MPO F - 4*LC-DUPLEX OM3-300 באורך 2 מטר</t>
  </si>
  <si>
    <t>כבל MPO F - 4*LC-DUPLEX OM3-300 באורך 3 מטר</t>
  </si>
  <si>
    <t>כבל MPO F - 4*LC-DUPLEX OM3-300 באורך 5 מטר</t>
  </si>
  <si>
    <t>כבל MPO/APC F - 4*LC-DUPLEX SM באורך 3 מטר</t>
  </si>
  <si>
    <t>כבל MPO/APC F - 4*LC-DUPLEX SM באורך 5 מטר</t>
  </si>
  <si>
    <t>כבל MTP F - 4*LC-DUPLEX OM3-300 באורך 5 מטר</t>
  </si>
  <si>
    <t>כבל טקטי על גלגלת עם 8 סיבים MM OM3 מחברי LC באורך 300מ</t>
  </si>
  <si>
    <t>כבל טקטי על גלגלת עם 8 סיבים SM מחברי LC באורך 300מ</t>
  </si>
  <si>
    <t>כיסוי הגנה ספייר לקונקטורים אופטיים לשימוש עם DRM01/03</t>
  </si>
  <si>
    <t>מארז 100 צינוריות "סליב" שקופות לסיב אופטי 40x3.5 מ"מ</t>
  </si>
  <si>
    <t>מארז 100 צינוריות "סליב" שקופות לסיב אופטי 40x4.0 מ"מ</t>
  </si>
  <si>
    <t>טרנסיבר 100G QSFP28 LR4 1310nm SM LC 20KM תואם CISCO/MSA</t>
  </si>
  <si>
    <t>טרנסיבר SFP ל-10/100/1000 RJ45 ל-100מ תעשייתי תואם CISCO/MSA</t>
  </si>
  <si>
    <t>טרנסיבר SFP ל-1G RJ45 ל-100 מטר תעשייתי תואם CISCO/MSA</t>
  </si>
  <si>
    <t>כבלי DAC TWINAX SFP/QSFP 10G/40G/100G פסיביים</t>
  </si>
  <si>
    <t>כבל DAC TWINAX QSFP+ 40G באורך 0.5מ תואם CISCO/MSA</t>
  </si>
  <si>
    <t>כבל DAC TWINAX QSFP+ 40G באורך 1מ תואם CISCO/MSA</t>
  </si>
  <si>
    <t>כבל DAC TWINAX QSFP+ 40G באורך 2מ תואם CISCO/MSA</t>
  </si>
  <si>
    <t>כבל DAC TWINAX QSFP+ 40G באורך 3מ תואם CISCO/MSA</t>
  </si>
  <si>
    <t>כבל DAC TWINAX QSFP+ 40G באורך 5מ תואם CISCO/MSA</t>
  </si>
  <si>
    <t>כבל DAC TWINAX QSFP28 100G באורך 0.5מ תואם CISCO/MSA</t>
  </si>
  <si>
    <t>כבל DAC TWINAX QSFP28 100G באורך 1מ תואם CISCO/MSA</t>
  </si>
  <si>
    <t>כבל DAC TWINAX QSFP28 100G באורך 2מ תואם CISCO/MSA</t>
  </si>
  <si>
    <t>כבל DAC TWINAX QSFP28 100G באורך 3מ תואם CISCO/MSA</t>
  </si>
  <si>
    <t>כבל DAC TWINAX QSFP28 100G באורך 5מ תואם CISCO/MSA</t>
  </si>
  <si>
    <t>מפצל HDMI ל-2 יציאות 4K@30HZ HDCP1.4 פלסטיק מתח USB</t>
  </si>
  <si>
    <t>מפצל HDMI ל-2 יציאות 4K@30HZ HDCP1.4 מתכתי + ספק כוח</t>
  </si>
  <si>
    <t>מפצל HDMI ל-2 יציאות 4K@30HZ HDCP1.4 מתכתי + ספק כוח, איכותי</t>
  </si>
  <si>
    <t>מפצל מוגבר HDMI ל-4 יציאות תומך 4K@30HZ HDCP1.4, איכותי</t>
  </si>
  <si>
    <t>ממתג HDMI2.0 3:1 תומך 4K@60hz אוטומטי + שלט + ספק כוח</t>
  </si>
  <si>
    <t>ממתג HDMI2.0 5:1 תומך 4K@60hz אוטומטי + שלט + ספק כוח</t>
  </si>
  <si>
    <t>מגבר HDMI2.0 אקטיבי 50 מטר 4K@60HZ 4:4:4 HDCP2.2 +שקע DC 5.5</t>
  </si>
  <si>
    <t>מרחיק HDMI + POC על כבל רשת עד 40מ 3D</t>
  </si>
  <si>
    <t>כבלים וממירים HDMI &lt;&gt; VGA</t>
  </si>
  <si>
    <t>מתג KVM 2:1 אוטומטי HDMI/DP 4K@60H+USB2.0 עם ספק, שלט וכבלים</t>
  </si>
  <si>
    <t>מתג KVM 4:1 אוטומטי HDMI/DP 4K@60H+USB2.0 עם ספק, שלט וכבלים</t>
  </si>
  <si>
    <t>מתג שיתוף USB3.0 לשיתוף 4 מכשירים ב-4 מחשבים</t>
  </si>
  <si>
    <t>כבל דק HDMI - MICRO HDMI עובי 4.2 מ"מ 3מ</t>
  </si>
  <si>
    <t>כבל DISPLAYPORT ז-ז באורך 15מ' 4K@60HZ</t>
  </si>
  <si>
    <t>כבל DP זכר - HDMI זכר 1.8מ' 1080P@60HZ</t>
  </si>
  <si>
    <t>כבל DP זכר - HDMI זכר 3מ' 1080P@60HZ</t>
  </si>
  <si>
    <t>כבל DP זכר - HDMI זכר 3 מ' אקטיבי 4K@144HZ / 8K@60Hz</t>
  </si>
  <si>
    <t>כבל מתאם DP זכר - HDMI נקבה 0.2מ' 4K@30HZ / 1080P@60HZ</t>
  </si>
  <si>
    <t>כבל DP זכר - VGA זכר עבה סיכוך כפול 1.8 מטר</t>
  </si>
  <si>
    <t>כבל DP - MINI DP באורך 1.8 מטר 4K@60HZ</t>
  </si>
  <si>
    <t>כבל DP - MINI DP באורך 3 מטר 4K@60HZ</t>
  </si>
  <si>
    <t>כבל DP - MINI DP באורך 5 מטר 4K@60HZ</t>
  </si>
  <si>
    <t>כבל USB2.0 שטוח - ריבוע זוויתי, 1.8 מטר  AM - BM R/A</t>
  </si>
  <si>
    <t>כבל AOC USB3.2 GEN2 CM-CM 10Gbps 60W 8K@60HZ 5M</t>
  </si>
  <si>
    <t>כבל AOC USB3.2 GEN2 CM-CM 10Gbps 60W 8K@60HZ 10M</t>
  </si>
  <si>
    <t>כבל AOC USB3.2 GEN2 CM-CM 10Gbps 60W 8K@60HZ 15M</t>
  </si>
  <si>
    <t>כבל USB2.0 תקע C זכר - A זכר 1.5 מטר</t>
  </si>
  <si>
    <t>כבל USB3.2 5Gbps מאריך C זכר - C נקבה חיווט מלא, 0.5מ</t>
  </si>
  <si>
    <t>מתאם USB C ל-DP נקבה תומך 4K*2K@60HZ  *** מחליף C31.448</t>
  </si>
  <si>
    <t>כבל USB C ל-HDMI זכר 1.8מ' 4K@30HZ</t>
  </si>
  <si>
    <t>כבל USB C ל-HDMI זכר 1.8מ' 4K@60HZ, אקונומי</t>
  </si>
  <si>
    <t>כבל USB C ל-HDMI זכר 1.8מ' 4K@60HZ</t>
  </si>
  <si>
    <t>כבל מתאם אודיו USB לאזניות+מיקרופון, תואם TRS + TRRS</t>
  </si>
  <si>
    <t>לוכד HDMI ל-USB3.0 עם LOOPOUT + כניסת MIC (להקליט למחשב)</t>
  </si>
  <si>
    <t>רכזת USB3.0 עם 4 פורט + כבל 60 ס"מ + כבל מתח USB A</t>
  </si>
  <si>
    <t>מתאם USB3.0 מ-B 3.0 זכר ל-A 3.0 נקבה</t>
  </si>
  <si>
    <t>כבל מתח מאריך C13-C14 ז-נ תיקני 3x1.5 באורך 3 מטר</t>
  </si>
  <si>
    <t>כבל כוח C13 - C20 לשרתים 3*1.5 באורך 2.5 מטר</t>
  </si>
  <si>
    <t>כבל מתח C5 - C14 תיקני 3x0.75 באורך 0.5 מטר</t>
  </si>
  <si>
    <t>כבל מתח C5 - C14 תיקני 3x0.75 באורך 1 מטר</t>
  </si>
  <si>
    <t>כבל מתח C5 - C14 תיקני 3x0.75 באורך 1.8 מטר</t>
  </si>
  <si>
    <t>קונקטור שקע C13 להרכבה על כבל</t>
  </si>
  <si>
    <t>קונקטור תקע C14 להרכבה על כבל</t>
  </si>
  <si>
    <t>קונקטור שקע C19 להרכבה על כבל</t>
  </si>
  <si>
    <t>קונקטור תקע C20 להרכבה על כבל</t>
  </si>
  <si>
    <t>אוגדן ספירלי לבן גמיש קוטר חיצוני 6 מ"מ אורך 10 מטר</t>
  </si>
  <si>
    <t>אוגדן ספירלי לבן גמיש קוטר חיצוני 8 מ"מ אורך 10 מטר</t>
  </si>
  <si>
    <t>אוגדן ספירלי לבן גמיש קוטר חיצוני 15 מ"מ אורך 10 מטר</t>
  </si>
  <si>
    <t>אוגדן ספירלי לבן גמיש קוטר חיצוני 19 מ"מ אורך 10 מטר</t>
  </si>
  <si>
    <t>חבילה 5מ</t>
  </si>
  <si>
    <t>חבילה 25מ</t>
  </si>
  <si>
    <t>רצועת סקוטש דו-צדדי שחור, חבילה של 25 מטר</t>
  </si>
  <si>
    <t>ממיר אודיו אנלוגי לדיגיטלי (אופטי+קואקס) + ספק כוח</t>
  </si>
  <si>
    <t>כבל PL 3.5 סטריאו זכר-זכר, 0.5 מטר, אקונומי</t>
  </si>
  <si>
    <t>כבל PL 3.5 סטריאו זכר-זכר, 1.2 מטר, אקונומי</t>
  </si>
  <si>
    <t>כבל PL 3.5 סטריאו זכר-זכר, 1.8 מטר, אקונומי</t>
  </si>
  <si>
    <t>כבל PL 3.5 סטריאו זכר-זכר, 3 מטר, אקונומי</t>
  </si>
  <si>
    <t>כבל PL 3.5 זכר-נקבה מסוכך יצוק, 15 מטר</t>
  </si>
  <si>
    <t>כבל CAT6 23AWG קשיח מסוכך, 100מ' נחושת מלאה</t>
  </si>
  <si>
    <t>כבל CAT6 23AWG קשיח מסוכך, 305מ' נחושת מלאה</t>
  </si>
  <si>
    <t>כבל CAT6 23AWG קשיח מסוכך, 305מ' CCAG</t>
  </si>
  <si>
    <t>כבל רשת CAT6 גמיש 26AWG מסוכך גליל 100מ' CCA לבניית מגשרים</t>
  </si>
  <si>
    <t>כבל CAT6a אפור קשיח 23AWG U/FTP טלדור 100מ' נחושת</t>
  </si>
  <si>
    <t>כבל CAT6a אפור קשיח 23AWG U/FTP טלדור 300מ' נחושת</t>
  </si>
  <si>
    <t>כבל CAT7 אדום קשיח 23AWG F/FTP טלדור 100מ' נחושת</t>
  </si>
  <si>
    <t>כבל CAT7 אדום קשיח 23AWG F/FTP טלדור 300מ' נחושת</t>
  </si>
  <si>
    <t>כבל רשת CAT5e קשיח מסוכך 100מ' נחושת מלאה</t>
  </si>
  <si>
    <t>כבל רשת CAT5e קשיח מסוכך 305מ' נחושת מלאה</t>
  </si>
  <si>
    <t>קופסה מסוככת לחיבור 2 כבלי רשת 8 גידים, חיבורי נעיצה IDC</t>
  </si>
  <si>
    <t>זרוע תקרה לבנה למקרן 40-60 ס"מ עד 20 ק"ג  PRB-2</t>
  </si>
  <si>
    <t>מתקן תליה טלסקופי תקרתי שחור למקרן 67-90 ס"מ עד 30 ק"ג</t>
  </si>
  <si>
    <t>שקע הטענה USB A+C 2.1A תואם לגרנד 1 מודול שחור</t>
  </si>
  <si>
    <t>שקע הטענה USB A+C 2.1A תואם לגרנד 1 מודול לבן</t>
  </si>
  <si>
    <t>שקע הטענה USB A+C 4.2A תואם לגרנד 2 מודול שחור</t>
  </si>
  <si>
    <t>שקע הטענה USB A+C 4.2A תואם לגרנד 2 מודול לבן</t>
  </si>
  <si>
    <t>תרסיס ניקוי מסכים LCD + מטלית 120 מ"ל</t>
  </si>
  <si>
    <t>מוצרי נעילה ואבטחה</t>
  </si>
  <si>
    <t>כבל נעילה אוניברסלי תואם נאנו/נובל/קנסינגטון עם מפתחות 1.8מ</t>
  </si>
  <si>
    <t>כבל נעילה אוניברסלי תואם נאנו/נובל/קנסינגטון עם קוד 1.8מ</t>
  </si>
  <si>
    <t>כבל נעילה תואם קנסינגטון עם מפתחות זהים 1.8M איכותי</t>
  </si>
  <si>
    <t>כבל נעילה תואם קנסינגטון עם קוד סודי 1.8M איכותי</t>
  </si>
  <si>
    <t>כבל נעילה תואם קנסינגטון עם מפתח 1.8M אקונומי</t>
  </si>
  <si>
    <t>כבל נעילה תואם קנסינגטון עם מפתח 1.1M אקונומי</t>
  </si>
  <si>
    <t>כבל נעילה תואם קנסינגטון עם קוד סודי 1.8M אקונומי</t>
  </si>
  <si>
    <t>כבל נעילה תואם קנסינגטון עם קוד סודי 1.2M אקונומי</t>
  </si>
  <si>
    <t>סט אחד</t>
  </si>
  <si>
    <t>סט 4 חוסמי שקע RJ45 + מפתח אחד</t>
  </si>
  <si>
    <t>סט 6 חוסמי שקע USB A + מפתח אחד</t>
  </si>
  <si>
    <t>מטען למחשב נייד TYPE C הספק 45 וואט + כבל חשמל</t>
  </si>
  <si>
    <t>מטען למחשב נייד TYPE C הספק 65 וואט + כבל חשמל</t>
  </si>
  <si>
    <t>מטען למחשב נייד TYPE C הספק 90 וואט + כבל חשמל</t>
  </si>
  <si>
    <t>מטען USB לקיר 5 וולט 2.1 אמפר שחור</t>
  </si>
  <si>
    <t>מטען USB לקיר 5 וולט 2.1 אמפר לבן</t>
  </si>
  <si>
    <t>ספק כוח 220V ל-9V 2A, תקע 5.5/2.1-2.5</t>
  </si>
  <si>
    <t>מתג סוויץ' 5 פורט 10/100 תוצרת DLINK/CUDY/HIKVISION</t>
  </si>
  <si>
    <t>מתג סוויץ' 8 פורט 10/100 תוצרת DLINK/CUDY/HIKVISION</t>
  </si>
  <si>
    <t>מתג סוויץ' 5 פורט 10/100/1000 תוצרת DLINK/CUDY/HIKVISION</t>
  </si>
  <si>
    <t>מתג סוויץ' 8 פורט 10/100/1000 תוצרת DLINK/CUDY/HIKVISION</t>
  </si>
  <si>
    <t>מתג 16 פורטים מתכתי 10/100/1000 לארון 19'' 1U</t>
  </si>
  <si>
    <t>מתג 24 פורטים מתכתי 10/100/1000 לארון 19'' 1U</t>
  </si>
  <si>
    <t>זמינות 4/4/24</t>
  </si>
  <si>
    <t>9518442743177</t>
  </si>
  <si>
    <t>9518442743184</t>
  </si>
  <si>
    <t>9518442742859</t>
  </si>
  <si>
    <t>9518442743191</t>
  </si>
  <si>
    <t>9518442743207</t>
  </si>
  <si>
    <t>9518442742842</t>
  </si>
  <si>
    <t>9518442742880</t>
  </si>
  <si>
    <t>9518442742897</t>
  </si>
  <si>
    <t>9518442742903</t>
  </si>
  <si>
    <t>9518442742910</t>
  </si>
  <si>
    <t>9518442743023</t>
  </si>
  <si>
    <t>9518442743030</t>
  </si>
  <si>
    <t>9518442732010</t>
  </si>
  <si>
    <t>9518442742590</t>
  </si>
  <si>
    <t>9518442742927</t>
  </si>
  <si>
    <t>9518442742934</t>
  </si>
  <si>
    <t>9518442742941</t>
  </si>
  <si>
    <t>9518442742958</t>
  </si>
  <si>
    <t>9518442743153</t>
  </si>
  <si>
    <t>9518442742965</t>
  </si>
  <si>
    <t>9518442743160</t>
  </si>
  <si>
    <t>9518442742972</t>
  </si>
  <si>
    <t>9518442742989</t>
  </si>
  <si>
    <t>9518442742996</t>
  </si>
  <si>
    <t>9518442743009</t>
  </si>
  <si>
    <t>9518442743146</t>
  </si>
  <si>
    <t>9518442742682</t>
  </si>
  <si>
    <t>9518442742507</t>
  </si>
  <si>
    <t>9518442743016</t>
  </si>
  <si>
    <t>9518442743221</t>
  </si>
  <si>
    <t>צלצל</t>
  </si>
  <si>
    <t>9518442742873</t>
  </si>
  <si>
    <t>9518442742705</t>
  </si>
  <si>
    <t>9518442742712</t>
  </si>
  <si>
    <t>9518442742545</t>
  </si>
  <si>
    <t>9518442742552</t>
  </si>
  <si>
    <t>9518442742569</t>
  </si>
  <si>
    <t>9518442742576</t>
  </si>
  <si>
    <t>9518442742583</t>
  </si>
  <si>
    <t>9518442742446</t>
  </si>
  <si>
    <t>9518442742453</t>
  </si>
  <si>
    <t>9518442742514</t>
  </si>
  <si>
    <t>9518442742521</t>
  </si>
  <si>
    <t>9518442742538</t>
  </si>
  <si>
    <t>9518442734847</t>
  </si>
  <si>
    <t>9518442742385</t>
  </si>
  <si>
    <t>9518442742392</t>
  </si>
  <si>
    <t>9518442742378</t>
  </si>
  <si>
    <t>9518442742804</t>
  </si>
  <si>
    <t>9518442742767</t>
  </si>
  <si>
    <t>9518442742781</t>
  </si>
  <si>
    <t>9518442726224</t>
  </si>
  <si>
    <t>9518442734403</t>
  </si>
  <si>
    <t>9518442743054</t>
  </si>
  <si>
    <t>9518442734298</t>
  </si>
  <si>
    <t>9518442742620</t>
  </si>
  <si>
    <t>9518442743047</t>
  </si>
  <si>
    <t>9518442743108</t>
  </si>
  <si>
    <t>9518442743115</t>
  </si>
  <si>
    <t>9518442743122</t>
  </si>
  <si>
    <t>9518442742644</t>
  </si>
  <si>
    <t>9518442742651</t>
  </si>
  <si>
    <t>9518442743061</t>
  </si>
  <si>
    <t>9518442743214</t>
  </si>
  <si>
    <t>9518442743139</t>
  </si>
  <si>
    <t>9518442741883</t>
  </si>
  <si>
    <t>9518442742811</t>
  </si>
  <si>
    <t>9518442742668</t>
  </si>
  <si>
    <t>9518442742408</t>
  </si>
  <si>
    <t>9518442742415</t>
  </si>
  <si>
    <t>9518442742699</t>
  </si>
  <si>
    <t>9518442741982</t>
  </si>
  <si>
    <t>9518442741999</t>
  </si>
  <si>
    <t>9518442742484</t>
  </si>
  <si>
    <t>9518442742491</t>
  </si>
  <si>
    <t>9518442743092</t>
  </si>
  <si>
    <t>9518442741784</t>
  </si>
  <si>
    <t>9518442741791</t>
  </si>
  <si>
    <t>9518442742866</t>
  </si>
  <si>
    <t>9518442741777</t>
  </si>
  <si>
    <t>9518442741807</t>
  </si>
  <si>
    <t>9518442741814</t>
  </si>
  <si>
    <t>9518442741821</t>
  </si>
  <si>
    <t>9518442741838</t>
  </si>
  <si>
    <t>9518442741869</t>
  </si>
  <si>
    <t>9518442741845</t>
  </si>
  <si>
    <t>9518442741852</t>
  </si>
  <si>
    <t>9518442742637</t>
  </si>
  <si>
    <t>9518442742439</t>
  </si>
  <si>
    <t>9518442742422</t>
  </si>
  <si>
    <t>9518442742477</t>
  </si>
  <si>
    <t>9518442742460</t>
  </si>
  <si>
    <t>9518442742798</t>
  </si>
  <si>
    <t>9518442742828</t>
  </si>
  <si>
    <t>9518442742835</t>
  </si>
  <si>
    <t>9518442743085</t>
  </si>
  <si>
    <t>9518442743078</t>
  </si>
  <si>
    <t>9518442742606</t>
  </si>
  <si>
    <t>9518442733604</t>
  </si>
  <si>
    <t>9518442742675</t>
  </si>
  <si>
    <t>דגן מולטימדיה בע"מ - קטלוג 04/2024   *   טלפון: 03-9605281   *   אימייל: INFO@DAGANM.CO.IL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</si>
</sst>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d/mm/yy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u/>
      <sz val="13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rgb="FF00B0F0"/>
      <name val="Arial"/>
      <family val="2"/>
      <charset val="177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4" applyNumberFormat="0" applyFont="0" applyAlignment="0" applyProtection="0"/>
    <xf numFmtId="0" fontId="3" fillId="27" borderId="5" applyNumberFormat="0" applyAlignment="0" applyProtection="0"/>
    <xf numFmtId="0" fontId="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9" applyNumberFormat="0" applyFill="0" applyAlignment="0" applyProtection="0"/>
    <xf numFmtId="0" fontId="13" fillId="27" borderId="10" applyNumberFormat="0" applyAlignment="0" applyProtection="0"/>
    <xf numFmtId="0" fontId="14" fillId="30" borderId="5" applyNumberFormat="0" applyAlignment="0" applyProtection="0"/>
    <xf numFmtId="0" fontId="15" fillId="31" borderId="0" applyNumberFormat="0" applyBorder="0" applyAlignment="0" applyProtection="0"/>
    <xf numFmtId="0" fontId="16" fillId="32" borderId="11" applyNumberFormat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3" fillId="0" borderId="20" xfId="42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4" xfId="0" applyBorder="1" applyAlignment="1">
      <alignment horizontal="right"/>
    </xf>
    <xf numFmtId="0" fontId="23" fillId="0" borderId="25" xfId="42" applyBorder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/>
    <xf numFmtId="0" fontId="23" fillId="0" borderId="0" xfId="42"/>
    <xf numFmtId="0" fontId="18" fillId="0" borderId="29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3" xfId="0" applyBorder="1"/>
    <xf numFmtId="0" fontId="23" fillId="0" borderId="35" xfId="42" applyBorder="1"/>
    <xf numFmtId="0" fontId="23" fillId="0" borderId="36" xfId="42" applyBorder="1"/>
    <xf numFmtId="165" fontId="0" fillId="0" borderId="0" xfId="0" applyNumberFormat="1" applyAlignment="1">
      <alignment horizontal="right"/>
    </xf>
    <xf numFmtId="0" fontId="20" fillId="35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right"/>
    </xf>
    <xf numFmtId="0" fontId="26" fillId="0" borderId="0" xfId="0" applyFont="1"/>
    <xf numFmtId="4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6" fillId="33" borderId="0" xfId="0" applyFont="1" applyFill="1"/>
    <xf numFmtId="164" fontId="25" fillId="0" borderId="0" xfId="0" applyNumberFormat="1" applyFont="1"/>
    <xf numFmtId="164" fontId="25" fillId="0" borderId="0" xfId="0" applyNumberFormat="1" applyFont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37" xfId="0" applyFont="1" applyBorder="1" applyAlignment="1">
      <alignment horizontal="right"/>
    </xf>
    <xf numFmtId="165" fontId="24" fillId="0" borderId="37" xfId="0" applyNumberFormat="1" applyFont="1" applyBorder="1" applyAlignment="1">
      <alignment horizontal="right"/>
    </xf>
    <xf numFmtId="0" fontId="18" fillId="0" borderId="37" xfId="0" applyFont="1" applyBorder="1" applyAlignment="1">
      <alignment horizontal="center"/>
    </xf>
  </cellXfs>
  <cellStyles count="43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Normal" xfId="0" builtinId="0"/>
    <cellStyle name="הדגשה1" xfId="19" builtinId="29" customBuiltin="1"/>
    <cellStyle name="הדגשה2" xfId="20" builtinId="33" customBuiltin="1"/>
    <cellStyle name="הדגשה3" xfId="21" builtinId="37" customBuiltin="1"/>
    <cellStyle name="הדגשה4" xfId="22" builtinId="41" customBuiltin="1"/>
    <cellStyle name="הדגשה5" xfId="23" builtinId="45" customBuiltin="1"/>
    <cellStyle name="הדגשה6" xfId="24" builtinId="49" customBuiltin="1"/>
    <cellStyle name="היפר-קישור" xfId="42" builtinId="8"/>
    <cellStyle name="הערה" xfId="25" builtinId="10" customBuiltin="1"/>
    <cellStyle name="חישוב" xfId="26" builtinId="22" customBuiltin="1"/>
    <cellStyle name="טוב" xfId="27" builtinId="26" customBuiltin="1"/>
    <cellStyle name="טקסט אזהרה" xfId="28" builtinId="11" customBuiltin="1"/>
    <cellStyle name="טקסט הסברי" xfId="29" builtinId="53" customBuiltin="1"/>
    <cellStyle name="כותרת" xfId="30" builtinId="15" customBuiltin="1"/>
    <cellStyle name="כותרת 1" xfId="31" builtinId="16" customBuiltin="1"/>
    <cellStyle name="כותרת 2" xfId="32" builtinId="17" customBuiltin="1"/>
    <cellStyle name="כותרת 3" xfId="33" builtinId="18" customBuiltin="1"/>
    <cellStyle name="כותרת 4" xfId="34" builtinId="19" customBuiltin="1"/>
    <cellStyle name="ניטראלי" xfId="35" builtinId="28" customBuiltin="1"/>
    <cellStyle name="סה&quot;כ" xfId="36" builtinId="25" customBuiltin="1"/>
    <cellStyle name="פלט" xfId="37" builtinId="21" customBuiltin="1"/>
    <cellStyle name="קלט" xfId="38" builtinId="20" customBuiltin="1"/>
    <cellStyle name="רע" xfId="39" builtinId="27" customBuiltin="1"/>
    <cellStyle name="תא מסומן" xfId="40" builtinId="23" customBuiltin="1"/>
    <cellStyle name="תא מקושר" xfId="41" builtinId="24" customBuiltin="1"/>
  </cellStyles>
  <dxfs count="0"/>
  <tableStyles count="0" defaultTableStyle="TableStyleMedium9" defaultPivotStyle="PivotStyleLight16"/>
  <colors>
    <mruColors>
      <color rgb="FFFFFF99"/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D413-A6AA-4E32-9078-F0671CB4F8DB}">
  <dimension ref="A1:I54"/>
  <sheetViews>
    <sheetView rightToLeft="1" zoomScaleNormal="100" workbookViewId="0">
      <selection activeCell="G27" sqref="G27"/>
    </sheetView>
  </sheetViews>
  <sheetFormatPr defaultRowHeight="14.25" x14ac:dyDescent="0.2"/>
  <cols>
    <col min="1" max="1" width="44.75" bestFit="1" customWidth="1"/>
    <col min="2" max="2" width="5.75" customWidth="1"/>
    <col min="3" max="3" width="12" hidden="1" customWidth="1"/>
    <col min="4" max="4" width="32.875" bestFit="1" customWidth="1"/>
    <col min="5" max="5" width="5.75" customWidth="1"/>
    <col min="6" max="6" width="7.375" hidden="1" customWidth="1"/>
    <col min="7" max="7" width="41.125" bestFit="1" customWidth="1"/>
    <col min="8" max="8" width="5.75" customWidth="1"/>
    <col min="9" max="9" width="11" hidden="1" customWidth="1"/>
  </cols>
  <sheetData>
    <row r="1" spans="1:9" ht="21" thickBot="1" x14ac:dyDescent="0.35">
      <c r="A1" s="40" t="s">
        <v>4321</v>
      </c>
      <c r="B1" s="41"/>
      <c r="C1" s="41"/>
      <c r="D1" s="41"/>
      <c r="E1" s="41"/>
      <c r="F1" s="41"/>
      <c r="G1" s="41"/>
      <c r="H1" s="41"/>
      <c r="I1" s="42"/>
    </row>
    <row r="2" spans="1:9" ht="18.75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8.75" thickBot="1" x14ac:dyDescent="0.3">
      <c r="A3" s="43" t="s">
        <v>102</v>
      </c>
      <c r="B3" s="44"/>
      <c r="C3" s="44"/>
      <c r="D3" s="44"/>
      <c r="E3" s="44"/>
      <c r="F3" s="44"/>
      <c r="G3" s="44"/>
      <c r="H3" s="45"/>
      <c r="I3" s="3"/>
    </row>
    <row r="4" spans="1:9" ht="15.75" thickBot="1" x14ac:dyDescent="0.3">
      <c r="A4" s="4" t="s">
        <v>103</v>
      </c>
      <c r="B4" s="5" t="s">
        <v>104</v>
      </c>
      <c r="C4" s="6"/>
      <c r="D4" s="4" t="s">
        <v>103</v>
      </c>
      <c r="E4" s="5" t="s">
        <v>104</v>
      </c>
      <c r="F4" s="6"/>
      <c r="G4" s="19" t="s">
        <v>103</v>
      </c>
      <c r="H4" s="25" t="s">
        <v>104</v>
      </c>
      <c r="I4" s="7"/>
    </row>
    <row r="5" spans="1:9" x14ac:dyDescent="0.2">
      <c r="A5" s="8" t="str">
        <f>HYPERLINK("#קטלוג!C"&amp;B5,C5)</f>
        <v>מגשרי רשת נחושת</v>
      </c>
      <c r="B5" s="9">
        <v>3</v>
      </c>
      <c r="C5" s="10" t="s">
        <v>5</v>
      </c>
      <c r="D5" s="8" t="str">
        <f>HYPERLINK("#קטלוג!C"&amp;E5,F5)</f>
        <v>מוצרי SDI</v>
      </c>
      <c r="E5" s="9">
        <v>858</v>
      </c>
      <c r="F5" s="10" t="s">
        <v>32</v>
      </c>
      <c r="G5" s="28" t="str">
        <f>HYPERLINK("#קטלוג!C"&amp;H5,I5)</f>
        <v>כבלי אודיו/וידאו PL, RCA</v>
      </c>
      <c r="H5" s="26">
        <v>1778</v>
      </c>
      <c r="I5" s="11" t="s">
        <v>71</v>
      </c>
    </row>
    <row r="6" spans="1:9" x14ac:dyDescent="0.2">
      <c r="A6" s="8" t="str">
        <f>HYPERLINK("#קטלוג!C"&amp;B6,C6)</f>
        <v>מגשרי רשת אופטיים</v>
      </c>
      <c r="B6" s="12">
        <v>333</v>
      </c>
      <c r="C6" s="13" t="s">
        <v>14</v>
      </c>
      <c r="D6" s="8" t="str">
        <f>HYPERLINK("#קטלוג!C"&amp;E6,F6)</f>
        <v>כבלים HDMI, DVI, VGA</v>
      </c>
      <c r="E6" s="12">
        <v>878</v>
      </c>
      <c r="F6" s="13" t="s">
        <v>33</v>
      </c>
      <c r="G6" s="28" t="str">
        <f>HYPERLINK("#קטלוג!C"&amp;H6,I6)</f>
        <v>כבלים במטר רץ (גלילים)</v>
      </c>
      <c r="H6" s="23">
        <v>1913</v>
      </c>
      <c r="I6" s="11" t="s">
        <v>3590</v>
      </c>
    </row>
    <row r="7" spans="1:9" x14ac:dyDescent="0.2">
      <c r="A7" s="8" t="str">
        <f>HYPERLINK("#קטלוג!C"&amp;B7,C7)</f>
        <v>כבלים טקטיים וגלגלות</v>
      </c>
      <c r="B7" s="12">
        <v>567</v>
      </c>
      <c r="C7" s="13" t="s">
        <v>3524</v>
      </c>
      <c r="D7" s="8" t="str">
        <f>HYPERLINK("#קטלוג!C"&amp;E7,F7)</f>
        <v>כבלים ומתאמים DP ו-MDP</v>
      </c>
      <c r="E7" s="12">
        <v>1138</v>
      </c>
      <c r="F7" s="13" t="s">
        <v>49</v>
      </c>
      <c r="G7" s="28" t="str">
        <f>HYPERLINK("#קטלוג!C"&amp;H7,I7)</f>
        <v>מחברים ומתאמים</v>
      </c>
      <c r="H7" s="23">
        <v>1938</v>
      </c>
      <c r="I7" s="11" t="s">
        <v>82</v>
      </c>
    </row>
    <row r="8" spans="1:9" x14ac:dyDescent="0.2">
      <c r="A8" s="8" t="str">
        <f>HYPERLINK("#קטלוג!C"&amp;B8,C8)</f>
        <v>פיגטיילים אופטיים ואביזריהם, מתאמי פנל</v>
      </c>
      <c r="B8" s="12">
        <v>588</v>
      </c>
      <c r="C8" s="13" t="s">
        <v>17</v>
      </c>
      <c r="D8" s="8" t="str">
        <f>HYPERLINK("#קטלוג!C"&amp;E8,F8)</f>
        <v>כבלים, ממירים ורכזות USB</v>
      </c>
      <c r="E8" s="12">
        <v>1236</v>
      </c>
      <c r="F8" s="13" t="s">
        <v>52</v>
      </c>
      <c r="G8" s="28" t="str">
        <f>HYPERLINK("#קטלוג!C"&amp;H8,I8)</f>
        <v>פנלים, קופסאות חיבורים וקלוז'ורים</v>
      </c>
      <c r="H8" s="23">
        <v>2087</v>
      </c>
      <c r="I8" s="11" t="s">
        <v>3599</v>
      </c>
    </row>
    <row r="9" spans="1:9" x14ac:dyDescent="0.2">
      <c r="A9" s="8" t="str">
        <f>HYPERLINK("#קטלוג!C"&amp;B9,C9)</f>
        <v>טרנסיברים miniGBIC SFP / QSFP וממירי מדיה אופטיים</v>
      </c>
      <c r="B9" s="12">
        <v>641</v>
      </c>
      <c r="C9" s="13" t="s">
        <v>3283</v>
      </c>
      <c r="D9" s="8" t="str">
        <f>HYPERLINK("#קטלוג!C"&amp;E9,F9)</f>
        <v>כבלי מחשב שונים</v>
      </c>
      <c r="E9" s="12">
        <v>1582</v>
      </c>
      <c r="F9" s="13" t="s">
        <v>61</v>
      </c>
      <c r="G9" s="28" t="str">
        <f>HYPERLINK("#קטלוג!C"&amp;H9,I9)</f>
        <v>כלי עבודה וטסטרים</v>
      </c>
      <c r="H9" s="23">
        <v>2166</v>
      </c>
      <c r="I9" s="11" t="s">
        <v>95</v>
      </c>
    </row>
    <row r="10" spans="1:9" x14ac:dyDescent="0.2">
      <c r="A10" s="8" t="str">
        <f>HYPERLINK("#קטלוג!C"&amp;B10,C10)</f>
        <v>מוצרים לפיקוד ושליטה ב-IR</v>
      </c>
      <c r="B10" s="12">
        <v>713</v>
      </c>
      <c r="C10" s="13" t="s">
        <v>20</v>
      </c>
      <c r="D10" s="8" t="str">
        <f>HYPERLINK("#קטלוג!C"&amp;E10,F10)</f>
        <v>כבלי חשמל</v>
      </c>
      <c r="E10" s="12">
        <v>1613</v>
      </c>
      <c r="F10" s="13" t="s">
        <v>64</v>
      </c>
      <c r="G10" s="28" t="str">
        <f>HYPERLINK("#קטלוג!C"&amp;H10,I10)</f>
        <v>שונות</v>
      </c>
      <c r="H10" s="23">
        <v>2197</v>
      </c>
      <c r="I10" s="11" t="s">
        <v>98</v>
      </c>
    </row>
    <row r="11" spans="1:9" x14ac:dyDescent="0.2">
      <c r="A11" s="8" t="str">
        <f>HYPERLINK("#קטלוג!C"&amp;B11,C11)</f>
        <v>פיצול, מיתוג, הרחקה והמרה HDMI, DVI, VGA, RCA</v>
      </c>
      <c r="B11" s="12">
        <v>733</v>
      </c>
      <c r="C11" s="13" t="s">
        <v>23</v>
      </c>
      <c r="D11" s="8" t="str">
        <f>HYPERLINK("#קטלוג!C"&amp;E11,F11)</f>
        <v>אביזרים לסידור ואיגוד כבלים</v>
      </c>
      <c r="E11" s="12">
        <v>1711</v>
      </c>
      <c r="F11" s="13" t="s">
        <v>67</v>
      </c>
      <c r="G11" s="28"/>
      <c r="H11" s="23"/>
      <c r="I11" s="11"/>
    </row>
    <row r="12" spans="1:9" ht="15" thickBot="1" x14ac:dyDescent="0.25">
      <c r="A12" s="14" t="str">
        <f>HYPERLINK("#קטלוג!C"&amp;B12,C12)</f>
        <v>ממתגים ומרחיקים KVM ו-USB</v>
      </c>
      <c r="B12" s="15">
        <v>820</v>
      </c>
      <c r="C12" s="16" t="s">
        <v>31</v>
      </c>
      <c r="D12" s="14" t="str">
        <f>HYPERLINK("#קטלוג!C"&amp;E12,F12)</f>
        <v>כבלים ומתאמים אופטיים לאודיו TOSLINK</v>
      </c>
      <c r="E12" s="15">
        <v>1749</v>
      </c>
      <c r="F12" s="16" t="s">
        <v>68</v>
      </c>
      <c r="G12" s="29"/>
      <c r="H12" s="27"/>
      <c r="I12" s="17"/>
    </row>
    <row r="13" spans="1:9" x14ac:dyDescent="0.2">
      <c r="A13" s="18"/>
      <c r="B13" s="2"/>
      <c r="C13" s="2"/>
      <c r="D13" s="18"/>
      <c r="E13" s="1"/>
      <c r="F13" s="2"/>
      <c r="G13" s="18"/>
      <c r="H13" s="2"/>
      <c r="I13" s="2"/>
    </row>
    <row r="14" spans="1:9" ht="15" thickBot="1" x14ac:dyDescent="0.25">
      <c r="A14" s="18"/>
      <c r="B14" s="2"/>
      <c r="C14" s="2"/>
      <c r="D14" s="18"/>
      <c r="E14" s="1"/>
      <c r="F14" s="2"/>
      <c r="G14" s="18"/>
      <c r="H14" s="2"/>
      <c r="I14" s="2"/>
    </row>
    <row r="15" spans="1:9" ht="18.75" thickBot="1" x14ac:dyDescent="0.3">
      <c r="A15" s="43" t="s">
        <v>105</v>
      </c>
      <c r="B15" s="44"/>
      <c r="C15" s="44"/>
      <c r="D15" s="44"/>
      <c r="E15" s="44"/>
      <c r="F15" s="44"/>
      <c r="G15" s="44"/>
      <c r="H15" s="45"/>
      <c r="I15" s="3"/>
    </row>
    <row r="16" spans="1:9" ht="15.75" thickBot="1" x14ac:dyDescent="0.3">
      <c r="A16" s="19" t="s">
        <v>103</v>
      </c>
      <c r="B16" s="20" t="s">
        <v>104</v>
      </c>
      <c r="C16" s="6"/>
      <c r="D16" s="4" t="s">
        <v>103</v>
      </c>
      <c r="E16" s="5" t="s">
        <v>104</v>
      </c>
      <c r="F16" s="6"/>
      <c r="G16" s="4" t="s">
        <v>103</v>
      </c>
      <c r="H16" s="6" t="s">
        <v>104</v>
      </c>
      <c r="I16" s="21"/>
    </row>
    <row r="17" spans="1:9" x14ac:dyDescent="0.2">
      <c r="A17" s="8" t="str">
        <f>HYPERLINK("#קטלוג!C"&amp;B17,C17)</f>
        <v>מגשרים RJ45 CAT6a עם אישור DELTA / EC VERIFIED</v>
      </c>
      <c r="B17" s="9">
        <v>4</v>
      </c>
      <c r="C17" s="10" t="s">
        <v>3234</v>
      </c>
      <c r="D17" s="8" t="str">
        <f>HYPERLINK("#קטלוג!C"&amp;E17,F17)</f>
        <v>כבלים HDMI ראשי מתכת בשקית TopX</v>
      </c>
      <c r="E17" s="9">
        <v>947</v>
      </c>
      <c r="F17" s="10" t="s">
        <v>35</v>
      </c>
      <c r="G17" s="8" t="str">
        <f>HYPERLINK("#קטלוג!C"&amp;H17,I17)</f>
        <v>אביזרים לסידור ואיגוד כבלים</v>
      </c>
      <c r="H17" s="10">
        <v>1712</v>
      </c>
      <c r="I17" s="22" t="s">
        <v>67</v>
      </c>
    </row>
    <row r="18" spans="1:9" x14ac:dyDescent="0.2">
      <c r="A18" s="8" t="str">
        <f>HYPERLINK("#קטלוג!C"&amp;B18,C18)</f>
        <v>מגשרים CAT6a CCA אקונומי</v>
      </c>
      <c r="B18" s="12">
        <v>124</v>
      </c>
      <c r="C18" s="13" t="s">
        <v>9</v>
      </c>
      <c r="D18" s="8" t="str">
        <f>HYPERLINK("#קטלוג!C"&amp;E18,F18)</f>
        <v>כבלים HDMI בבליסטר TopX</v>
      </c>
      <c r="E18" s="12">
        <v>964</v>
      </c>
      <c r="F18" s="13" t="s">
        <v>36</v>
      </c>
      <c r="G18" s="8" t="str">
        <f>HYPERLINK("#קטלוג!C"&amp;H18,I18)</f>
        <v>כבלי אודיו אופטיים</v>
      </c>
      <c r="H18" s="13">
        <v>1750</v>
      </c>
      <c r="I18" s="23" t="s">
        <v>69</v>
      </c>
    </row>
    <row r="19" spans="1:9" x14ac:dyDescent="0.2">
      <c r="A19" s="8" t="str">
        <f>HYPERLINK("#קטלוג!C"&amp;B19,C19)</f>
        <v>מגשרים RJ45 CAT6</v>
      </c>
      <c r="B19" s="12">
        <v>135</v>
      </c>
      <c r="C19" s="13" t="s">
        <v>11</v>
      </c>
      <c r="D19" s="8" t="str">
        <f>HYPERLINK("#קטלוג!C"&amp;E19,F19)</f>
        <v>כבלים HDMI דקים</v>
      </c>
      <c r="E19" s="12">
        <v>972</v>
      </c>
      <c r="F19" s="13" t="s">
        <v>38</v>
      </c>
      <c r="G19" s="8" t="str">
        <f>HYPERLINK("#קטלוג!C"&amp;H19,I19)</f>
        <v>מתאמים וממירים לחיבור אודיו אופטי</v>
      </c>
      <c r="H19" s="13">
        <v>1764</v>
      </c>
      <c r="I19" s="23" t="s">
        <v>70</v>
      </c>
    </row>
    <row r="20" spans="1:9" x14ac:dyDescent="0.2">
      <c r="A20" s="8" t="str">
        <f>HYPERLINK("#קטלוג!C"&amp;B20,C20)</f>
        <v>מגשרים RJ45 CAT7 נחושת סיכוך כפול</v>
      </c>
      <c r="B20" s="12">
        <v>227</v>
      </c>
      <c r="C20" s="13" t="s">
        <v>10</v>
      </c>
      <c r="D20" s="8" t="str">
        <f>HYPERLINK("#קטלוג!C"&amp;E20,F20)</f>
        <v>כבלים HDMI לבנים</v>
      </c>
      <c r="E20" s="12">
        <v>978</v>
      </c>
      <c r="F20" s="13" t="s">
        <v>39</v>
      </c>
      <c r="G20" s="8" t="str">
        <f>HYPERLINK("#קטלוג!C"&amp;H20,I20)</f>
        <v>כבל PL 3.5 סטריאו זכר-זכר</v>
      </c>
      <c r="H20" s="13">
        <v>1779</v>
      </c>
      <c r="I20" s="23" t="s">
        <v>72</v>
      </c>
    </row>
    <row r="21" spans="1:9" x14ac:dyDescent="0.2">
      <c r="A21" s="8" t="str">
        <f>HYPERLINK("#קטלוג!C"&amp;B21,C21)</f>
        <v>מגשרים RJ45 CAT8</v>
      </c>
      <c r="B21" s="12">
        <v>248</v>
      </c>
      <c r="C21" s="13" t="s">
        <v>3698</v>
      </c>
      <c r="D21" s="8" t="str">
        <f>HYPERLINK("#קטלוג!C"&amp;E21,F21)</f>
        <v>כבלים HDMI זוויתיים</v>
      </c>
      <c r="E21" s="12">
        <v>985</v>
      </c>
      <c r="F21" s="13" t="s">
        <v>40</v>
      </c>
      <c r="G21" s="8" t="str">
        <f>HYPERLINK("#קטלוג!C"&amp;H21,I21)</f>
        <v>כבל מאריך PL 3.5 סטריאו זכר-נקבה</v>
      </c>
      <c r="H21" s="13">
        <v>1800</v>
      </c>
      <c r="I21" s="23" t="s">
        <v>73</v>
      </c>
    </row>
    <row r="22" spans="1:9" x14ac:dyDescent="0.2">
      <c r="A22" s="8" t="str">
        <f>HYPERLINK("#קטלוג!C"&amp;B22,C22)</f>
        <v>מגשרים RJ45 CAT5e</v>
      </c>
      <c r="B22" s="12">
        <v>268</v>
      </c>
      <c r="C22" s="13" t="s">
        <v>12</v>
      </c>
      <c r="D22" s="8" t="str">
        <f>HYPERLINK("#קטלוג!C"&amp;E22,F22)</f>
        <v>כבלים HDMI מאריכים זכר-נקבה</v>
      </c>
      <c r="E22" s="12">
        <v>990</v>
      </c>
      <c r="F22" s="13" t="s">
        <v>41</v>
      </c>
      <c r="G22" s="8" t="str">
        <f>HYPERLINK("#קטלוג!C"&amp;H22,I22)</f>
        <v>כבל אודיו PL 3.5 - 2xRCA</v>
      </c>
      <c r="H22" s="13">
        <v>1821</v>
      </c>
      <c r="I22" s="23" t="s">
        <v>74</v>
      </c>
    </row>
    <row r="23" spans="1:9" x14ac:dyDescent="0.2">
      <c r="A23" s="8" t="str">
        <f>HYPERLINK("#קטלוג!C"&amp;B23,C23)</f>
        <v>כבלים RJ45/RJ11 שונים</v>
      </c>
      <c r="B23" s="12">
        <v>313</v>
      </c>
      <c r="C23" s="13" t="s">
        <v>13</v>
      </c>
      <c r="D23" s="8" t="str">
        <f>HYPERLINK("#קטלוג!C"&amp;E23,F23)</f>
        <v>כבלים HDMI לפאנל</v>
      </c>
      <c r="E23" s="12">
        <v>997</v>
      </c>
      <c r="F23" s="13" t="s">
        <v>42</v>
      </c>
      <c r="G23" s="8" t="str">
        <f>HYPERLINK("#קטלוג!C"&amp;H23,I23)</f>
        <v>כבלים PL 6.35 שונים</v>
      </c>
      <c r="H23" s="13">
        <v>1840</v>
      </c>
      <c r="I23" s="23" t="s">
        <v>75</v>
      </c>
    </row>
    <row r="24" spans="1:9" x14ac:dyDescent="0.2">
      <c r="A24" s="8" t="str">
        <f>HYPERLINK("#קטלוג!C"&amp;B24,C24)</f>
        <v>מגשרים אופטיים SINGLE MODE 9/125 UPC</v>
      </c>
      <c r="B24" s="12">
        <v>334</v>
      </c>
      <c r="C24" s="13" t="s">
        <v>3237</v>
      </c>
      <c r="D24" s="8" t="str">
        <f>HYPERLINK("#קטלוג!C"&amp;E24,F24)</f>
        <v>כבלי HDMI AOC מבוססים סיב אופטי</v>
      </c>
      <c r="E24" s="12">
        <v>1000</v>
      </c>
      <c r="F24" s="13" t="s">
        <v>818</v>
      </c>
      <c r="G24" s="8" t="str">
        <f>HYPERLINK("#קטלוג!C"&amp;H24,I24)</f>
        <v>כבלים ומתאמים PL, RCA שונים</v>
      </c>
      <c r="H24" s="13">
        <v>1855</v>
      </c>
      <c r="I24" s="23" t="s">
        <v>76</v>
      </c>
    </row>
    <row r="25" spans="1:9" x14ac:dyDescent="0.2">
      <c r="A25" s="8" t="str">
        <f>HYPERLINK("#קטלוג!C"&amp;B25,C25)</f>
        <v>מגשרים אופטיים SINGLE MODE 9/125 APC+UPC</v>
      </c>
      <c r="B25" s="12">
        <v>395</v>
      </c>
      <c r="C25" s="13" t="s">
        <v>3239</v>
      </c>
      <c r="D25" s="8" t="str">
        <f>HYPERLINK("#קטלוג!C"&amp;E25,F25)</f>
        <v>כבלי HDMI להשחלה ולחיצה</v>
      </c>
      <c r="E25" s="12">
        <v>1038</v>
      </c>
      <c r="F25" s="13" t="s">
        <v>43</v>
      </c>
      <c r="G25" s="8" t="str">
        <f>HYPERLINK("#קטלוג!C"&amp;H25,I25)</f>
        <v>כבלים PL עם 3 טבעות = 4 מגעים (TRRS)</v>
      </c>
      <c r="H25" s="13">
        <v>1865</v>
      </c>
      <c r="I25" s="23" t="s">
        <v>77</v>
      </c>
    </row>
    <row r="26" spans="1:9" x14ac:dyDescent="0.2">
      <c r="A26" s="8" t="str">
        <f>HYPERLINK("#קטלוג!C"&amp;B26,C26)</f>
        <v>מגשרי SM משוריינים להתקנות FTTH</v>
      </c>
      <c r="B26" s="12">
        <v>424</v>
      </c>
      <c r="C26" s="13" t="s">
        <v>3509</v>
      </c>
      <c r="D26" s="8" t="str">
        <f>HYPERLINK("#קטלוג!C"&amp;E26,F26)</f>
        <v>כבלים HDMI-DVI</v>
      </c>
      <c r="E26" s="12">
        <v>1044</v>
      </c>
      <c r="F26" s="13" t="s">
        <v>44</v>
      </c>
      <c r="G26" s="8" t="str">
        <f>HYPERLINK("#קטלוג!C"&amp;H26,I26)</f>
        <v>כבל 1xRCA קואקסיאלי דיגיטלי</v>
      </c>
      <c r="H26" s="13">
        <v>1880</v>
      </c>
      <c r="I26" s="23" t="s">
        <v>78</v>
      </c>
    </row>
    <row r="27" spans="1:9" x14ac:dyDescent="0.2">
      <c r="A27" s="8" t="str">
        <f>HYPERLINK("#קטלוג!C"&amp;B27,C27)</f>
        <v>מגשרים אופטיים MULTIMODE 50/125</v>
      </c>
      <c r="B27" s="12">
        <v>433</v>
      </c>
      <c r="C27" s="13" t="s">
        <v>15</v>
      </c>
      <c r="D27" s="8" t="str">
        <f>HYPERLINK("#קטלוג!C"&amp;E27,F27)</f>
        <v>כבלים מיני HDMI TYPE C</v>
      </c>
      <c r="E27" s="12">
        <v>1059</v>
      </c>
      <c r="F27" s="13" t="s">
        <v>839</v>
      </c>
      <c r="G27" s="8" t="str">
        <f>HYPERLINK("#קטלוג!C"&amp;H27,I27)</f>
        <v>כבל אודיו 2xRCA - 2xRCA</v>
      </c>
      <c r="H27" s="13">
        <v>1892</v>
      </c>
      <c r="I27" s="23" t="s">
        <v>79</v>
      </c>
    </row>
    <row r="28" spans="1:9" x14ac:dyDescent="0.2">
      <c r="A28" s="8" t="str">
        <f>HYPERLINK("#קטלוג!C"&amp;B28,C28)</f>
        <v>מגשרים אופטיים MULTIMODE 62.5/125</v>
      </c>
      <c r="B28" s="12">
        <v>520</v>
      </c>
      <c r="C28" s="13" t="s">
        <v>16</v>
      </c>
      <c r="D28" s="8" t="str">
        <f>HYPERLINK("#קטלוג!C"&amp;E28,F28)</f>
        <v>כבל מיקרו HDMI TYPE D</v>
      </c>
      <c r="E28" s="12">
        <v>1079</v>
      </c>
      <c r="F28" s="13" t="s">
        <v>45</v>
      </c>
      <c r="G28" s="8" t="str">
        <f>HYPERLINK("#קטלוג!C"&amp;H28,I28)</f>
        <v>כבלים 3xRCA - 3xRCA</v>
      </c>
      <c r="H28" s="13">
        <v>1904</v>
      </c>
      <c r="I28" s="23" t="s">
        <v>80</v>
      </c>
    </row>
    <row r="29" spans="1:9" x14ac:dyDescent="0.2">
      <c r="A29" s="8" t="str">
        <f>HYPERLINK("#קטלוג!C"&amp;B29,C29)</f>
        <v>מגשרים MPO/MTP</v>
      </c>
      <c r="B29" s="12">
        <v>547</v>
      </c>
      <c r="C29" s="13" t="s">
        <v>3518</v>
      </c>
      <c r="D29" s="8" t="str">
        <f>HYPERLINK("#קטלוג!C"&amp;E29,F29)</f>
        <v>כבלים DVI</v>
      </c>
      <c r="E29" s="12">
        <v>1097</v>
      </c>
      <c r="F29" s="13" t="s">
        <v>46</v>
      </c>
      <c r="G29" s="8" t="str">
        <f>HYPERLINK("#קטלוג!C"&amp;H29,I29)</f>
        <v>כבלים שונים</v>
      </c>
      <c r="H29" s="13">
        <v>1909</v>
      </c>
      <c r="I29" s="23" t="s">
        <v>81</v>
      </c>
    </row>
    <row r="30" spans="1:9" x14ac:dyDescent="0.2">
      <c r="A30" s="8" t="str">
        <f>HYPERLINK("#קטלוג!C"&amp;B30,C30)</f>
        <v>כבלים אופטיים טקטיים על גלגלת</v>
      </c>
      <c r="B30" s="12">
        <v>568</v>
      </c>
      <c r="C30" s="13" t="s">
        <v>3267</v>
      </c>
      <c r="D30" s="8" t="str">
        <f>HYPERLINK("#קטלוג!C"&amp;E30,F30)</f>
        <v>כבלים VGA</v>
      </c>
      <c r="E30" s="12">
        <v>1116</v>
      </c>
      <c r="F30" s="13" t="s">
        <v>47</v>
      </c>
      <c r="G30" s="8" t="str">
        <f>HYPERLINK("#קטלוג!C"&amp;H30,I30)</f>
        <v>כבלי רמקול TOPX</v>
      </c>
      <c r="H30" s="13">
        <v>1914</v>
      </c>
      <c r="I30" s="23" t="s">
        <v>3591</v>
      </c>
    </row>
    <row r="31" spans="1:9" x14ac:dyDescent="0.2">
      <c r="A31" s="8" t="str">
        <f>HYPERLINK("#קטלוג!C"&amp;B31,C31)</f>
        <v>כבלים RJ45 CAT7 טקטיים על גלגלת</v>
      </c>
      <c r="B31" s="12">
        <v>580</v>
      </c>
      <c r="C31" s="13" t="s">
        <v>3525</v>
      </c>
      <c r="D31" s="8" t="str">
        <f>HYPERLINK("#קטלוג!C"&amp;E31,F31)</f>
        <v>כבלים מפצלים VGA, DVI, HDMI</v>
      </c>
      <c r="E31" s="12">
        <v>1132</v>
      </c>
      <c r="F31" s="13" t="s">
        <v>48</v>
      </c>
      <c r="G31" s="8" t="str">
        <f>HYPERLINK("#קטלוג!C"&amp;H31,I31)</f>
        <v>כבלים שונים בגלילים</v>
      </c>
      <c r="H31" s="13">
        <v>1924</v>
      </c>
      <c r="I31" s="23" t="s">
        <v>3592</v>
      </c>
    </row>
    <row r="32" spans="1:9" x14ac:dyDescent="0.2">
      <c r="A32" s="8" t="str">
        <f>HYPERLINK("#קטלוג!C"&amp;B32,C32)</f>
        <v>גלגלות לכבלים</v>
      </c>
      <c r="B32" s="12">
        <v>584</v>
      </c>
      <c r="C32" s="13" t="s">
        <v>3370</v>
      </c>
      <c r="D32" s="8" t="str">
        <f>HYPERLINK("#קטלוג!C"&amp;E32,F32)</f>
        <v>כבלים ומתאמים DISPLAY PORT</v>
      </c>
      <c r="E32" s="12">
        <v>1139</v>
      </c>
      <c r="F32" s="13" t="s">
        <v>50</v>
      </c>
      <c r="G32" s="8" t="str">
        <f>HYPERLINK("#קטלוג!C"&amp;H32,I32)</f>
        <v>מתאמים לקיסטון/גוויס/פאנל</v>
      </c>
      <c r="H32" s="13">
        <v>1939</v>
      </c>
      <c r="I32" s="23" t="s">
        <v>83</v>
      </c>
    </row>
    <row r="33" spans="1:9" x14ac:dyDescent="0.2">
      <c r="A33" s="8" t="str">
        <f>HYPERLINK("#קטלוג!C"&amp;B33,C33)</f>
        <v>פיגטייל אופטי להיתוך + סליבים</v>
      </c>
      <c r="B33" s="12">
        <v>589</v>
      </c>
      <c r="C33" s="13" t="s">
        <v>3275</v>
      </c>
      <c r="D33" s="8" t="str">
        <f>HYPERLINK("#קטלוג!C"&amp;E33,F33)</f>
        <v>כבלים ומתאמים MINI DISPLAY PORT</v>
      </c>
      <c r="E33" s="12">
        <v>1207</v>
      </c>
      <c r="F33" s="13" t="s">
        <v>51</v>
      </c>
      <c r="G33" s="8" t="str">
        <f>HYPERLINK("#קטלוג!C"&amp;H33,I33)</f>
        <v>מחברים PL, RCA</v>
      </c>
      <c r="H33" s="13">
        <v>1962</v>
      </c>
      <c r="I33" s="23" t="s">
        <v>84</v>
      </c>
    </row>
    <row r="34" spans="1:9" x14ac:dyDescent="0.2">
      <c r="A34" s="8" t="str">
        <f>HYPERLINK("#קטלוג!C"&amp;B34,C34)</f>
        <v>מתאמי פאנל אופטיים</v>
      </c>
      <c r="B34" s="12">
        <v>614</v>
      </c>
      <c r="C34" s="13" t="s">
        <v>18</v>
      </c>
      <c r="D34" s="8" t="str">
        <f>HYPERLINK("#קטלוג!C"&amp;E34,F34)</f>
        <v>מפצלים וממתגים DISPLAYPORT</v>
      </c>
      <c r="E34" s="12">
        <v>1232</v>
      </c>
      <c r="F34" s="13" t="s">
        <v>3324</v>
      </c>
      <c r="G34" s="8" t="str">
        <f>HYPERLINK("#קטלוג!C"&amp;H34,I34)</f>
        <v>מחברים BNC, F</v>
      </c>
      <c r="H34" s="13">
        <v>1994</v>
      </c>
      <c r="I34" s="23" t="s">
        <v>85</v>
      </c>
    </row>
    <row r="35" spans="1:9" x14ac:dyDescent="0.2">
      <c r="A35" s="8" t="str">
        <f>HYPERLINK("#קטלוג!C"&amp;B35,C35)</f>
        <v>טרנסיברים miniGBIC SFP / QSFP</v>
      </c>
      <c r="B35" s="12">
        <v>642</v>
      </c>
      <c r="C35" s="13" t="s">
        <v>3284</v>
      </c>
      <c r="D35" s="8" t="str">
        <f>HYPERLINK("#קטלוג!C"&amp;E35,F35)</f>
        <v>כבלים USB2.0</v>
      </c>
      <c r="E35" s="12">
        <v>1237</v>
      </c>
      <c r="F35" s="13" t="s">
        <v>53</v>
      </c>
      <c r="G35" s="8" t="str">
        <f>HYPERLINK("#קטלוג!C"&amp;H35,I35)</f>
        <v>מחברים D-TYPE</v>
      </c>
      <c r="H35" s="13">
        <v>2006</v>
      </c>
      <c r="I35" s="23" t="s">
        <v>86</v>
      </c>
    </row>
    <row r="36" spans="1:9" x14ac:dyDescent="0.2">
      <c r="A36" s="8" t="str">
        <f>HYPERLINK("#קטלוג!C"&amp;B36,C36)</f>
        <v>כבלי DAC TWINAX SFP/QSFP 10G/40G/100G פסיביים</v>
      </c>
      <c r="B36" s="12">
        <v>687</v>
      </c>
      <c r="C36" s="13" t="s">
        <v>4109</v>
      </c>
      <c r="D36" s="8" t="str">
        <f>HYPERLINK("#קטלוג!C"&amp;E36,F36)</f>
        <v>כבלים USB2.0 עם מגבר מובנה</v>
      </c>
      <c r="E36" s="12">
        <v>1282</v>
      </c>
      <c r="F36" s="13" t="s">
        <v>54</v>
      </c>
      <c r="G36" s="8" t="str">
        <f>HYPERLINK("#קטלוג!C"&amp;H36,I36)</f>
        <v>מחברים VGA, DVI, HDMI</v>
      </c>
      <c r="H36" s="13">
        <v>2017</v>
      </c>
      <c r="I36" s="23" t="s">
        <v>87</v>
      </c>
    </row>
    <row r="37" spans="1:9" x14ac:dyDescent="0.2">
      <c r="A37" s="8" t="str">
        <f>HYPERLINK("#קטלוג!C"&amp;B37,C37)</f>
        <v>ממירי מדיה אופטיים</v>
      </c>
      <c r="B37" s="12">
        <v>704</v>
      </c>
      <c r="C37" s="13" t="s">
        <v>19</v>
      </c>
      <c r="D37" s="8" t="str">
        <f>HYPERLINK("#קטלוג!C"&amp;E37,F37)</f>
        <v>כבלים מיני ומיקרו USB2.0</v>
      </c>
      <c r="E37" s="12">
        <v>1297</v>
      </c>
      <c r="F37" s="13" t="s">
        <v>55</v>
      </c>
      <c r="G37" s="8" t="str">
        <f>HYPERLINK("#קטלוג!C"&amp;H37,I37)</f>
        <v>מחברים RJ45</v>
      </c>
      <c r="H37" s="13">
        <v>2041</v>
      </c>
      <c r="I37" s="23" t="s">
        <v>88</v>
      </c>
    </row>
    <row r="38" spans="1:9" x14ac:dyDescent="0.2">
      <c r="A38" s="8" t="str">
        <f>HYPERLINK("#קטלוג!C"&amp;B38,C38)</f>
        <v>עיניות להרחקת IR</v>
      </c>
      <c r="B38" s="12">
        <v>714</v>
      </c>
      <c r="C38" s="13" t="s">
        <v>21</v>
      </c>
      <c r="D38" s="8" t="str">
        <f>HYPERLINK("#קטלוג!C"&amp;E38,F38)</f>
        <v>כבלים USB3.0</v>
      </c>
      <c r="E38" s="12">
        <v>1323</v>
      </c>
      <c r="F38" s="13" t="s">
        <v>56</v>
      </c>
      <c r="G38" s="8" t="str">
        <f>HYPERLINK("#קטלוג!C"&amp;H38,I38)</f>
        <v>כבלים ומחברי DC</v>
      </c>
      <c r="H38" s="13">
        <v>2073</v>
      </c>
      <c r="I38" s="23" t="s">
        <v>89</v>
      </c>
    </row>
    <row r="39" spans="1:9" x14ac:dyDescent="0.2">
      <c r="A39" s="8" t="str">
        <f>HYPERLINK("#קטלוג!C"&amp;B39,C39)</f>
        <v>קיט לומד IR עם כפתור הדלקה וכיבוי למקרן</v>
      </c>
      <c r="B39" s="12">
        <v>727</v>
      </c>
      <c r="C39" s="13" t="s">
        <v>22</v>
      </c>
      <c r="D39" s="8" t="str">
        <f>HYPERLINK("#קטלוג!C"&amp;E39,F39)</f>
        <v>כבלים USB3.0 ארוכים - מוגברים ו-AOC</v>
      </c>
      <c r="E39" s="12">
        <v>1352</v>
      </c>
      <c r="F39" s="13" t="s">
        <v>1085</v>
      </c>
      <c r="G39" s="8" t="str">
        <f>HYPERLINK("#קטלוג!C"&amp;H39,I39)</f>
        <v>קופסאות תקשורת לקיר</v>
      </c>
      <c r="H39" s="13">
        <v>2088</v>
      </c>
      <c r="I39" s="23" t="s">
        <v>90</v>
      </c>
    </row>
    <row r="40" spans="1:9" x14ac:dyDescent="0.2">
      <c r="A40" s="8" t="str">
        <f>HYPERLINK("#קטלוג!C"&amp;B40,C40)</f>
        <v>מפצלים HDMI</v>
      </c>
      <c r="B40" s="12">
        <v>734</v>
      </c>
      <c r="C40" s="13" t="s">
        <v>24</v>
      </c>
      <c r="D40" s="8" t="str">
        <f>HYPERLINK("#קטלוג!C"&amp;E40,F40)</f>
        <v>כבלים ומתאמים USB C</v>
      </c>
      <c r="E40" s="12">
        <v>1369</v>
      </c>
      <c r="F40" s="13" t="s">
        <v>1088</v>
      </c>
      <c r="G40" s="8" t="str">
        <f>HYPERLINK("#קטלוג!C"&amp;H40,I40)</f>
        <v>פאץ' פנלים לכבלי RJ45</v>
      </c>
      <c r="H40" s="13">
        <v>2094</v>
      </c>
      <c r="I40" s="23" t="s">
        <v>91</v>
      </c>
    </row>
    <row r="41" spans="1:9" x14ac:dyDescent="0.2">
      <c r="A41" s="8" t="str">
        <f>HYPERLINK("#קטלוג!C"&amp;B41,C41)</f>
        <v>ממתגים ומטריצות HDMI</v>
      </c>
      <c r="B41" s="12">
        <v>746</v>
      </c>
      <c r="C41" s="13" t="s">
        <v>25</v>
      </c>
      <c r="D41" s="8" t="str">
        <f>HYPERLINK("#קטלוג!C"&amp;E41,F41)</f>
        <v>כבלים THUNDERBOLT 3/4</v>
      </c>
      <c r="E41" s="12">
        <v>1441</v>
      </c>
      <c r="F41" s="13" t="s">
        <v>1095</v>
      </c>
      <c r="G41" s="8" t="str">
        <f>HYPERLINK("#קטלוג!C"&amp;H41,I41)</f>
        <v>פאץ' פנלים לכבלים אופטיים</v>
      </c>
      <c r="H41" s="13">
        <v>2102</v>
      </c>
      <c r="I41" s="23" t="s">
        <v>92</v>
      </c>
    </row>
    <row r="42" spans="1:9" x14ac:dyDescent="0.2">
      <c r="A42" s="8" t="str">
        <f>HYPERLINK("#קטלוג!C"&amp;B42,C42)</f>
        <v>מרחיקים ומגברים HDMI</v>
      </c>
      <c r="B42" s="12">
        <v>756</v>
      </c>
      <c r="C42" s="13" t="s">
        <v>26</v>
      </c>
      <c r="D42" s="8" t="str">
        <f>HYPERLINK("#קטלוג!C"&amp;E42,F42)</f>
        <v>כבלים ל-OCULUS HEADSET</v>
      </c>
      <c r="E42" s="12">
        <v>1449</v>
      </c>
      <c r="F42" s="13" t="s">
        <v>1102</v>
      </c>
      <c r="G42" s="8" t="str">
        <f>HYPERLINK("#קטלוג!C"&amp;H42,I42)</f>
        <v>פנלים לפס דין</v>
      </c>
      <c r="H42" s="13">
        <v>2114</v>
      </c>
      <c r="I42" s="23" t="s">
        <v>3600</v>
      </c>
    </row>
    <row r="43" spans="1:9" x14ac:dyDescent="0.2">
      <c r="A43" s="8" t="str">
        <f>HYPERLINK("#קטלוג!C"&amp;B43,C43)</f>
        <v>כבלים וממירים HDMI &lt;&gt; VGA</v>
      </c>
      <c r="B43" s="12">
        <v>764</v>
      </c>
      <c r="C43" s="13" t="s">
        <v>4128</v>
      </c>
      <c r="D43" s="8" t="str">
        <f>HYPERLINK("#קטלוג!C"&amp;E43,F43)</f>
        <v>כבלים ממירים / מתאמים מולטיפורט USB C</v>
      </c>
      <c r="E43" s="12">
        <v>1454</v>
      </c>
      <c r="F43" s="13" t="s">
        <v>1107</v>
      </c>
      <c r="G43" s="8" t="str">
        <f>HYPERLINK("#קטלוג!C"&amp;H43,I43)</f>
        <v>פאץ' פנלים וציוד נוסף לארון תקשורת</v>
      </c>
      <c r="H43" s="13">
        <v>2118</v>
      </c>
      <c r="I43" s="23" t="s">
        <v>93</v>
      </c>
    </row>
    <row r="44" spans="1:9" x14ac:dyDescent="0.2">
      <c r="A44" s="8" t="str">
        <f>HYPERLINK("#קטלוג!C"&amp;B44,C44)</f>
        <v>ממירים HDMI</v>
      </c>
      <c r="B44" s="12">
        <v>776</v>
      </c>
      <c r="C44" s="13" t="s">
        <v>27</v>
      </c>
      <c r="D44" s="8" t="str">
        <f>HYPERLINK("#קטלוג!C"&amp;E44,F44)</f>
        <v>מארזים ותחנות עגינה ל-HDD/SSD</v>
      </c>
      <c r="E44" s="12">
        <v>1493</v>
      </c>
      <c r="F44" s="13" t="s">
        <v>3335</v>
      </c>
      <c r="G44" s="8" t="str">
        <f>HYPERLINK("#קטלוג!C"&amp;H44,I44)</f>
        <v>קלוז'רים לסיבים אופטיים</v>
      </c>
      <c r="H44" s="13">
        <v>2131</v>
      </c>
      <c r="I44" s="23" t="s">
        <v>3602</v>
      </c>
    </row>
    <row r="45" spans="1:9" x14ac:dyDescent="0.2">
      <c r="A45" s="8" t="str">
        <f>HYPERLINK("#קטלוג!C"&amp;B45,C45)</f>
        <v>מפצלים וממתגים VGA</v>
      </c>
      <c r="B45" s="12">
        <v>790</v>
      </c>
      <c r="C45" s="13" t="s">
        <v>28</v>
      </c>
      <c r="D45" s="8" t="str">
        <f>HYPERLINK("#קטלוג!C"&amp;E45,F45)</f>
        <v>ממירים ומוצרי USB שונים</v>
      </c>
      <c r="E45" s="12">
        <v>1503</v>
      </c>
      <c r="F45" s="13" t="s">
        <v>57</v>
      </c>
      <c r="G45" s="8" t="str">
        <f>HYPERLINK("#קטלוג!C"&amp;H45,I45)</f>
        <v>מתקנים וקופסאות חיבורים למולטימדיה</v>
      </c>
      <c r="H45" s="13">
        <v>2140</v>
      </c>
      <c r="I45" s="23" t="s">
        <v>94</v>
      </c>
    </row>
    <row r="46" spans="1:9" x14ac:dyDescent="0.2">
      <c r="A46" s="8" t="str">
        <f>HYPERLINK("#קטלוג!C"&amp;B46,C46)</f>
        <v>ממירים ומרחיקים VGA</v>
      </c>
      <c r="B46" s="12">
        <v>800</v>
      </c>
      <c r="C46" s="13" t="s">
        <v>29</v>
      </c>
      <c r="D46" s="8" t="str">
        <f>HYPERLINK("#קטלוג!C"&amp;E46,F46)</f>
        <v>כבלי קונסול לראוטרים וסוויצ'ים</v>
      </c>
      <c r="E46" s="12">
        <v>1545</v>
      </c>
      <c r="F46" s="13" t="s">
        <v>58</v>
      </c>
      <c r="G46" s="8" t="str">
        <f>HYPERLINK("#קטלוג!C"&amp;H46,I46)</f>
        <v>כלים וחומרי עבודה</v>
      </c>
      <c r="H46" s="13">
        <v>2167</v>
      </c>
      <c r="I46" s="23" t="s">
        <v>96</v>
      </c>
    </row>
    <row r="47" spans="1:9" x14ac:dyDescent="0.2">
      <c r="A47" s="8" t="str">
        <f>HYPERLINK("#קטלוג!C"&amp;B47,C47)</f>
        <v>מפצלים DVI</v>
      </c>
      <c r="B47" s="12">
        <v>805</v>
      </c>
      <c r="C47" s="13" t="s">
        <v>3300</v>
      </c>
      <c r="D47" s="8" t="str">
        <f>HYPERLINK("#קטלוג!C"&amp;E47,F47)</f>
        <v>רכזות USB2.0/3.0 ו-TYPE C</v>
      </c>
      <c r="E47" s="12">
        <v>1550</v>
      </c>
      <c r="F47" s="13" t="s">
        <v>1155</v>
      </c>
      <c r="G47" s="8" t="str">
        <f>HYPERLINK("#קטלוג!C"&amp;H47,I47)</f>
        <v>בודקי כבלים / טסטרים</v>
      </c>
      <c r="H47" s="13">
        <v>2184</v>
      </c>
      <c r="I47" s="23" t="s">
        <v>97</v>
      </c>
    </row>
    <row r="48" spans="1:9" x14ac:dyDescent="0.2">
      <c r="A48" s="8" t="str">
        <f>HYPERLINK("#קטלוג!C"&amp;B48,C48)</f>
        <v>קופסאות מיתוג ומפצלים RCA</v>
      </c>
      <c r="B48" s="12">
        <v>809</v>
      </c>
      <c r="C48" s="13" t="s">
        <v>30</v>
      </c>
      <c r="D48" s="8" t="str">
        <f>HYPERLINK("#קטלוג!C"&amp;E48,F48)</f>
        <v>מתאמים USB</v>
      </c>
      <c r="E48" s="12">
        <v>1561</v>
      </c>
      <c r="F48" s="13" t="s">
        <v>59</v>
      </c>
      <c r="G48" s="8" t="str">
        <f>HYPERLINK("#קטלוג!C"&amp;H48,I48)</f>
        <v>מוצרי נעילה ואבטחה</v>
      </c>
      <c r="H48" s="13">
        <v>2198</v>
      </c>
      <c r="I48" s="23" t="s">
        <v>4196</v>
      </c>
    </row>
    <row r="49" spans="1:9" x14ac:dyDescent="0.2">
      <c r="A49" s="8" t="str">
        <f>HYPERLINK("#קטלוג!C"&amp;B49,C49)</f>
        <v>מרחיקי אודיו / בלונים</v>
      </c>
      <c r="B49" s="12">
        <v>812</v>
      </c>
      <c r="C49" s="13" t="s">
        <v>3301</v>
      </c>
      <c r="D49" s="8" t="str">
        <f>HYPERLINK("#קטלוג!C"&amp;E49,F49)</f>
        <v>כבלים לאייפון, סמארטפונים וטאבלטים</v>
      </c>
      <c r="E49" s="12">
        <v>1570</v>
      </c>
      <c r="F49" s="13" t="s">
        <v>60</v>
      </c>
      <c r="G49" s="8" t="str">
        <f>HYPERLINK("#קטלוג!C"&amp;H49,I49)</f>
        <v>מאווררים למחשב</v>
      </c>
      <c r="H49" s="13">
        <v>2210</v>
      </c>
      <c r="I49" s="23" t="s">
        <v>99</v>
      </c>
    </row>
    <row r="50" spans="1:9" x14ac:dyDescent="0.2">
      <c r="A50" s="8" t="str">
        <f>HYPERLINK("#קטלוג!C"&amp;B50,C50)</f>
        <v>ממתגים ומרחיקים KVM ו-USB</v>
      </c>
      <c r="B50" s="12">
        <v>821</v>
      </c>
      <c r="C50" s="13" t="s">
        <v>31</v>
      </c>
      <c r="D50" s="8" t="str">
        <f>HYPERLINK("#קטלוג!C"&amp;E50,F50)</f>
        <v>כבלים סריאליים ופרלליים (RS232, LPT)</v>
      </c>
      <c r="E50" s="12">
        <v>1583</v>
      </c>
      <c r="F50" s="13" t="s">
        <v>62</v>
      </c>
      <c r="G50" s="8" t="str">
        <f>HYPERLINK("#קטלוג!C"&amp;H50,I50)</f>
        <v>ספקי כוח 5/9/12/220V ומטעני USB</v>
      </c>
      <c r="H50" s="13">
        <v>2216</v>
      </c>
      <c r="I50" s="23" t="s">
        <v>3947</v>
      </c>
    </row>
    <row r="51" spans="1:9" x14ac:dyDescent="0.2">
      <c r="A51" s="8" t="str">
        <f>HYPERLINK("#קטלוג!C"&amp;B51,C51)</f>
        <v>מוצרי SDI</v>
      </c>
      <c r="B51" s="12">
        <v>859</v>
      </c>
      <c r="C51" s="13" t="s">
        <v>32</v>
      </c>
      <c r="D51" s="8" t="str">
        <f>HYPERLINK("#קטלוג!C"&amp;E51,F51)</f>
        <v>כבלים MOLEX, SATA, ESATA</v>
      </c>
      <c r="E51" s="12">
        <v>1598</v>
      </c>
      <c r="F51" s="13" t="s">
        <v>63</v>
      </c>
      <c r="G51" s="8" t="str">
        <f>HYPERLINK("#קטלוג!C"&amp;H51,I51)</f>
        <v>מתגים לרשת + POE</v>
      </c>
      <c r="H51" s="13">
        <v>2238</v>
      </c>
      <c r="I51" s="23" t="s">
        <v>3949</v>
      </c>
    </row>
    <row r="52" spans="1:9" x14ac:dyDescent="0.2">
      <c r="A52" s="8" t="str">
        <f>HYPERLINK("#קטלוג!C"&amp;B52,C52)</f>
        <v>כבלים HDMI1.4 אקונומי</v>
      </c>
      <c r="B52" s="12">
        <v>879</v>
      </c>
      <c r="C52" s="13" t="s">
        <v>37</v>
      </c>
      <c r="D52" s="8" t="str">
        <f>HYPERLINK("#קטלוג!C"&amp;E52,F52)</f>
        <v>כבלי חשמל ומתאמים 220V</v>
      </c>
      <c r="E52" s="12">
        <v>1614</v>
      </c>
      <c r="F52" s="13" t="s">
        <v>65</v>
      </c>
      <c r="G52" s="8"/>
      <c r="H52" s="13"/>
      <c r="I52" s="23"/>
    </row>
    <row r="53" spans="1:9" x14ac:dyDescent="0.2">
      <c r="A53" s="8" t="str">
        <f>HYPERLINK("#קטלוג!C"&amp;B53,C53)</f>
        <v>כבלים HDMI 4K</v>
      </c>
      <c r="B53" s="12">
        <v>891</v>
      </c>
      <c r="C53" s="13" t="s">
        <v>3546</v>
      </c>
      <c r="D53" s="8" t="str">
        <f>HYPERLINK("#קטלוג!C"&amp;E53,F53)</f>
        <v>קונקטורים, מתאמים ומפצלים לחשמל</v>
      </c>
      <c r="E53" s="12">
        <v>1682</v>
      </c>
      <c r="F53" s="13" t="s">
        <v>3579</v>
      </c>
      <c r="G53" s="8"/>
      <c r="H53" s="13"/>
      <c r="I53" s="23"/>
    </row>
    <row r="54" spans="1:9" ht="15" thickBot="1" x14ac:dyDescent="0.25">
      <c r="A54" s="14" t="str">
        <f>HYPERLINK("#קטלוג!C"&amp;B54,C54)</f>
        <v>כבלים HDMI2.1 8K@60HZ</v>
      </c>
      <c r="B54" s="15">
        <v>931</v>
      </c>
      <c r="C54" s="16" t="s">
        <v>34</v>
      </c>
      <c r="D54" s="14" t="str">
        <f>HYPERLINK("#קטלוג!C"&amp;E54,F54)</f>
        <v>כבלי חשמל חו"ל</v>
      </c>
      <c r="E54" s="15">
        <v>1701</v>
      </c>
      <c r="F54" s="16" t="s">
        <v>66</v>
      </c>
      <c r="G54" s="14"/>
      <c r="H54" s="16"/>
      <c r="I54" s="24"/>
    </row>
  </sheetData>
  <sheetProtection sheet="1" objects="1" scenarios="1"/>
  <mergeCells count="3">
    <mergeCell ref="A1:I1"/>
    <mergeCell ref="A3:H3"/>
    <mergeCell ref="A15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50"/>
  <sheetViews>
    <sheetView rightToLeft="1" tabSelected="1" zoomScaleNormal="100" workbookViewId="0">
      <pane ySplit="2" topLeftCell="A3" activePane="bottomLeft" state="frozen"/>
      <selection pane="bottomLeft" activeCell="A2" sqref="A2"/>
    </sheetView>
  </sheetViews>
  <sheetFormatPr defaultRowHeight="14.25" x14ac:dyDescent="0.2"/>
  <cols>
    <col min="1" max="1" width="20.625" bestFit="1" customWidth="1"/>
    <col min="2" max="2" width="14.375" style="39" customWidth="1"/>
    <col min="3" max="3" width="61.25" bestFit="1" customWidth="1"/>
    <col min="4" max="4" width="11.25" style="30" customWidth="1"/>
    <col min="5" max="5" width="14.375" customWidth="1"/>
  </cols>
  <sheetData>
    <row r="1" spans="1:5" ht="18" x14ac:dyDescent="0.25">
      <c r="A1" s="46" t="s">
        <v>4321</v>
      </c>
      <c r="B1" s="46"/>
      <c r="C1" s="46"/>
      <c r="D1" s="46"/>
      <c r="E1" s="46"/>
    </row>
    <row r="2" spans="1:5" ht="15" x14ac:dyDescent="0.25">
      <c r="A2" s="47" t="s">
        <v>1</v>
      </c>
      <c r="B2" s="47" t="s">
        <v>4</v>
      </c>
      <c r="C2" s="47" t="s">
        <v>0</v>
      </c>
      <c r="D2" s="48" t="s">
        <v>4220</v>
      </c>
      <c r="E2" s="49" t="s">
        <v>3</v>
      </c>
    </row>
    <row r="3" spans="1:5" ht="16.5" x14ac:dyDescent="0.25">
      <c r="B3"/>
      <c r="C3" s="31" t="s">
        <v>5</v>
      </c>
      <c r="D3" s="32"/>
      <c r="E3" s="32"/>
    </row>
    <row r="4" spans="1:5" x14ac:dyDescent="0.2">
      <c r="B4"/>
      <c r="C4" s="33" t="s">
        <v>3234</v>
      </c>
      <c r="D4" s="32"/>
      <c r="E4" s="32"/>
    </row>
    <row r="5" spans="1:5" x14ac:dyDescent="0.2">
      <c r="A5" s="34" t="str">
        <f>HYPERLINK("http://www.daganm.co.il/sku/FTP-0021/0.15","FTP-0021/0.15")</f>
        <v>FTP-0021/0.15</v>
      </c>
      <c r="B5" t="s">
        <v>6</v>
      </c>
      <c r="C5" s="2" t="s">
        <v>7</v>
      </c>
      <c r="D5" s="32"/>
      <c r="E5" s="35" t="s">
        <v>100</v>
      </c>
    </row>
    <row r="6" spans="1:5" x14ac:dyDescent="0.2">
      <c r="A6" s="34" t="str">
        <f>HYPERLINK("http://www.daganm.co.il/sku/FTP-0021/0.2","FTP-0021/0.2")</f>
        <v>FTP-0021/0.2</v>
      </c>
      <c r="B6" t="s">
        <v>6</v>
      </c>
      <c r="C6" s="2" t="s">
        <v>8</v>
      </c>
      <c r="D6" s="32"/>
      <c r="E6" s="35" t="s">
        <v>101</v>
      </c>
    </row>
    <row r="7" spans="1:5" x14ac:dyDescent="0.2">
      <c r="A7" s="34" t="str">
        <f>HYPERLINK("http://www.daganm.co.il/sku/FTP-0021/0.25","FTP-0021/0.25")</f>
        <v>FTP-0021/0.25</v>
      </c>
      <c r="B7" t="s">
        <v>6</v>
      </c>
      <c r="C7" s="2" t="s">
        <v>106</v>
      </c>
      <c r="D7" s="32"/>
      <c r="E7" s="35" t="s">
        <v>1611</v>
      </c>
    </row>
    <row r="8" spans="1:5" x14ac:dyDescent="0.2">
      <c r="A8" s="34" t="str">
        <f>HYPERLINK("http://www.daganm.co.il/sku/FTP-0021/0.3","FTP-0021/0.3")</f>
        <v>FTP-0021/0.3</v>
      </c>
      <c r="B8" t="s">
        <v>6</v>
      </c>
      <c r="C8" s="2" t="s">
        <v>107</v>
      </c>
      <c r="D8" s="32"/>
      <c r="E8" s="35" t="s">
        <v>1612</v>
      </c>
    </row>
    <row r="9" spans="1:5" x14ac:dyDescent="0.2">
      <c r="A9" s="34" t="str">
        <f>HYPERLINK("http://www.daganm.co.il/sku/FTP-0021/0.5","FTP-0021/0.5")</f>
        <v>FTP-0021/0.5</v>
      </c>
      <c r="B9" t="s">
        <v>6</v>
      </c>
      <c r="C9" s="2" t="s">
        <v>108</v>
      </c>
      <c r="D9" s="32"/>
      <c r="E9" s="35" t="s">
        <v>1613</v>
      </c>
    </row>
    <row r="10" spans="1:5" x14ac:dyDescent="0.2">
      <c r="A10" s="34" t="str">
        <f>HYPERLINK("http://www.daganm.co.il/sku/FTP-0021/1","FTP-0021/1")</f>
        <v>FTP-0021/1</v>
      </c>
      <c r="B10" t="s">
        <v>6</v>
      </c>
      <c r="C10" s="2" t="s">
        <v>109</v>
      </c>
      <c r="D10" s="32"/>
      <c r="E10" s="35" t="s">
        <v>1614</v>
      </c>
    </row>
    <row r="11" spans="1:5" x14ac:dyDescent="0.2">
      <c r="A11" s="34" t="str">
        <f>HYPERLINK("http://www.daganm.co.il/sku/FTP-0021/1.5","FTP-0021/1.5")</f>
        <v>FTP-0021/1.5</v>
      </c>
      <c r="B11" t="s">
        <v>6</v>
      </c>
      <c r="C11" s="2" t="s">
        <v>110</v>
      </c>
      <c r="D11" s="32"/>
      <c r="E11" s="35" t="s">
        <v>1615</v>
      </c>
    </row>
    <row r="12" spans="1:5" x14ac:dyDescent="0.2">
      <c r="A12" s="34" t="str">
        <f>HYPERLINK("http://www.daganm.co.il/sku/FTP-0021/2","FTP-0021/2")</f>
        <v>FTP-0021/2</v>
      </c>
      <c r="B12" t="s">
        <v>6</v>
      </c>
      <c r="C12" s="2" t="s">
        <v>111</v>
      </c>
      <c r="D12" s="32"/>
      <c r="E12" s="35" t="s">
        <v>1616</v>
      </c>
    </row>
    <row r="13" spans="1:5" x14ac:dyDescent="0.2">
      <c r="A13" s="34" t="str">
        <f>HYPERLINK("http://www.daganm.co.il/sku/FTP-0021/2.5","FTP-0021/2.5")</f>
        <v>FTP-0021/2.5</v>
      </c>
      <c r="B13" t="s">
        <v>6</v>
      </c>
      <c r="C13" s="2" t="s">
        <v>112</v>
      </c>
      <c r="D13" s="32"/>
      <c r="E13" s="35" t="s">
        <v>1617</v>
      </c>
    </row>
    <row r="14" spans="1:5" x14ac:dyDescent="0.2">
      <c r="A14" s="34" t="str">
        <f>HYPERLINK("http://www.daganm.co.il/sku/FTP-0021/3","FTP-0021/3")</f>
        <v>FTP-0021/3</v>
      </c>
      <c r="B14" t="s">
        <v>6</v>
      </c>
      <c r="C14" s="2" t="s">
        <v>113</v>
      </c>
      <c r="D14" s="32"/>
      <c r="E14" s="35" t="s">
        <v>1618</v>
      </c>
    </row>
    <row r="15" spans="1:5" x14ac:dyDescent="0.2">
      <c r="A15" s="34" t="str">
        <f>HYPERLINK("http://www.daganm.co.il/sku/FTP-0021/5","FTP-0021/5")</f>
        <v>FTP-0021/5</v>
      </c>
      <c r="B15" t="s">
        <v>6</v>
      </c>
      <c r="C15" s="2" t="s">
        <v>114</v>
      </c>
      <c r="D15" s="32"/>
      <c r="E15" s="35" t="s">
        <v>1619</v>
      </c>
    </row>
    <row r="16" spans="1:5" x14ac:dyDescent="0.2">
      <c r="A16" s="34" t="str">
        <f>HYPERLINK("http://www.daganm.co.il/sku/FTP-0021/7","FTP-0021/7")</f>
        <v>FTP-0021/7</v>
      </c>
      <c r="B16" t="s">
        <v>6</v>
      </c>
      <c r="C16" s="2" t="s">
        <v>115</v>
      </c>
      <c r="D16" s="32"/>
      <c r="E16" s="35" t="s">
        <v>1620</v>
      </c>
    </row>
    <row r="17" spans="1:5" x14ac:dyDescent="0.2">
      <c r="A17" s="34" t="str">
        <f>HYPERLINK("http://www.daganm.co.il/sku/FTP-0021/7.5","FTP-0021/7.5")</f>
        <v>FTP-0021/7.5</v>
      </c>
      <c r="B17" t="s">
        <v>6</v>
      </c>
      <c r="C17" s="2" t="s">
        <v>116</v>
      </c>
      <c r="D17" s="32"/>
      <c r="E17" s="35" t="s">
        <v>1621</v>
      </c>
    </row>
    <row r="18" spans="1:5" x14ac:dyDescent="0.2">
      <c r="A18" s="34" t="str">
        <f>HYPERLINK("http://www.daganm.co.il/sku/FTP-0021/10","FTP-0021/10")</f>
        <v>FTP-0021/10</v>
      </c>
      <c r="B18" t="s">
        <v>6</v>
      </c>
      <c r="C18" s="2" t="s">
        <v>117</v>
      </c>
      <c r="D18" s="32"/>
      <c r="E18" s="35" t="s">
        <v>1622</v>
      </c>
    </row>
    <row r="19" spans="1:5" x14ac:dyDescent="0.2">
      <c r="A19" s="34" t="str">
        <f>HYPERLINK("http://www.daganm.co.il/sku/FTP-0021/15","FTP-0021/15")</f>
        <v>FTP-0021/15</v>
      </c>
      <c r="B19" t="s">
        <v>6</v>
      </c>
      <c r="C19" s="2" t="s">
        <v>118</v>
      </c>
      <c r="D19" s="32"/>
      <c r="E19" s="35" t="s">
        <v>1623</v>
      </c>
    </row>
    <row r="20" spans="1:5" x14ac:dyDescent="0.2">
      <c r="A20" s="34" t="str">
        <f>HYPERLINK("http://www.daganm.co.il/sku/FTP-0021/20","FTP-0021/20")</f>
        <v>FTP-0021/20</v>
      </c>
      <c r="B20" t="s">
        <v>6</v>
      </c>
      <c r="C20" s="2" t="s">
        <v>119</v>
      </c>
      <c r="D20" s="32"/>
      <c r="E20" s="35" t="s">
        <v>1624</v>
      </c>
    </row>
    <row r="21" spans="1:5" x14ac:dyDescent="0.2">
      <c r="A21" s="34" t="str">
        <f>HYPERLINK("http://www.daganm.co.il/sku/FTP-0021/25","FTP-0021/25")</f>
        <v>FTP-0021/25</v>
      </c>
      <c r="B21" t="s">
        <v>6</v>
      </c>
      <c r="C21" s="2" t="s">
        <v>120</v>
      </c>
      <c r="D21" s="32"/>
      <c r="E21" s="35" t="s">
        <v>1625</v>
      </c>
    </row>
    <row r="22" spans="1:5" x14ac:dyDescent="0.2">
      <c r="A22" s="34" t="str">
        <f>HYPERLINK("http://www.daganm.co.il/sku/FTP-0021/30","FTP-0021/30")</f>
        <v>FTP-0021/30</v>
      </c>
      <c r="B22" t="s">
        <v>6</v>
      </c>
      <c r="C22" s="2" t="s">
        <v>121</v>
      </c>
      <c r="D22" s="32"/>
      <c r="E22" s="35" t="s">
        <v>1626</v>
      </c>
    </row>
    <row r="23" spans="1:5" x14ac:dyDescent="0.2">
      <c r="A23" s="34" t="str">
        <f>HYPERLINK("http://www.daganm.co.il/sku/FTP-0021/40","FTP-0021/40")</f>
        <v>FTP-0021/40</v>
      </c>
      <c r="B23" t="s">
        <v>6</v>
      </c>
      <c r="C23" s="2" t="s">
        <v>122</v>
      </c>
      <c r="D23" s="32"/>
      <c r="E23" s="35" t="s">
        <v>1627</v>
      </c>
    </row>
    <row r="24" spans="1:5" x14ac:dyDescent="0.2">
      <c r="A24" s="34" t="str">
        <f>HYPERLINK("http://www.daganm.co.il/sku/FTP-0021/50","FTP-0021/50")</f>
        <v>FTP-0021/50</v>
      </c>
      <c r="B24" t="s">
        <v>6</v>
      </c>
      <c r="C24" s="2" t="s">
        <v>123</v>
      </c>
      <c r="D24" s="32"/>
      <c r="E24" s="35" t="s">
        <v>1628</v>
      </c>
    </row>
    <row r="25" spans="1:5" x14ac:dyDescent="0.2">
      <c r="A25" s="37" t="str">
        <f>HYPERLINK("http://www.daganm.co.il/sku/FTP-0021/60","FTP-0021/60")</f>
        <v>FTP-0021/60</v>
      </c>
      <c r="B25" t="s">
        <v>6</v>
      </c>
      <c r="C25" s="2" t="s">
        <v>4074</v>
      </c>
      <c r="D25" s="32">
        <v>45448</v>
      </c>
      <c r="E25" s="35" t="s">
        <v>4221</v>
      </c>
    </row>
    <row r="26" spans="1:5" x14ac:dyDescent="0.2">
      <c r="A26" s="37" t="str">
        <f>HYPERLINK("http://www.daganm.co.il/sku/FTP-0021/70","FTP-0021/70")</f>
        <v>FTP-0021/70</v>
      </c>
      <c r="B26" t="s">
        <v>6</v>
      </c>
      <c r="C26" s="2" t="s">
        <v>4075</v>
      </c>
      <c r="D26" s="32">
        <v>45448</v>
      </c>
      <c r="E26" s="35" t="s">
        <v>4222</v>
      </c>
    </row>
    <row r="27" spans="1:5" x14ac:dyDescent="0.2">
      <c r="A27" s="37" t="str">
        <f>HYPERLINK("http://www.daganm.co.il/sku/FTP-0021/75","FTP-0021/75")</f>
        <v>FTP-0021/75</v>
      </c>
      <c r="B27" t="s">
        <v>6</v>
      </c>
      <c r="C27" s="2" t="s">
        <v>4076</v>
      </c>
      <c r="D27" s="32">
        <v>45448</v>
      </c>
      <c r="E27" s="35" t="s">
        <v>4223</v>
      </c>
    </row>
    <row r="28" spans="1:5" x14ac:dyDescent="0.2">
      <c r="A28" s="37" t="str">
        <f>HYPERLINK("http://www.daganm.co.il/sku/FTP-0021/80","FTP-0021/80")</f>
        <v>FTP-0021/80</v>
      </c>
      <c r="B28" t="s">
        <v>6</v>
      </c>
      <c r="C28" s="2" t="s">
        <v>4077</v>
      </c>
      <c r="D28" s="32">
        <v>45448</v>
      </c>
      <c r="E28" s="35" t="s">
        <v>4224</v>
      </c>
    </row>
    <row r="29" spans="1:5" x14ac:dyDescent="0.2">
      <c r="A29" s="37" t="str">
        <f>HYPERLINK("http://www.daganm.co.il/sku/FTP-0021/90","FTP-0021/90")</f>
        <v>FTP-0021/90</v>
      </c>
      <c r="B29" t="s">
        <v>6</v>
      </c>
      <c r="C29" s="2" t="s">
        <v>4078</v>
      </c>
      <c r="D29" s="32">
        <v>45448</v>
      </c>
      <c r="E29" s="35" t="s">
        <v>4225</v>
      </c>
    </row>
    <row r="30" spans="1:5" x14ac:dyDescent="0.2">
      <c r="A30" s="37" t="str">
        <f>HYPERLINK("http://www.daganm.co.il/sku/FTP-0021/100","FTP-0021/100")</f>
        <v>FTP-0021/100</v>
      </c>
      <c r="B30" t="s">
        <v>6</v>
      </c>
      <c r="C30" s="2" t="s">
        <v>4079</v>
      </c>
      <c r="D30" s="32">
        <v>45448</v>
      </c>
      <c r="E30" s="35" t="s">
        <v>4226</v>
      </c>
    </row>
    <row r="31" spans="1:5" x14ac:dyDescent="0.2">
      <c r="A31" s="34" t="str">
        <f>HYPERLINK("http://www.daganm.co.il/sku/F0021/0.15","F0021/0.15-WH")</f>
        <v>F0021/0.15-WH</v>
      </c>
      <c r="B31" t="s">
        <v>6</v>
      </c>
      <c r="C31" s="2" t="s">
        <v>124</v>
      </c>
      <c r="D31" s="36"/>
      <c r="E31" s="35" t="s">
        <v>1629</v>
      </c>
    </row>
    <row r="32" spans="1:5" x14ac:dyDescent="0.2">
      <c r="A32" s="34" t="str">
        <f>HYPERLINK("http://www.daganm.co.il/sku/F0021/0.15","F0021/0.15-BLK")</f>
        <v>F0021/0.15-BLK</v>
      </c>
      <c r="B32" t="s">
        <v>6</v>
      </c>
      <c r="C32" s="2" t="s">
        <v>125</v>
      </c>
      <c r="D32" s="32"/>
      <c r="E32" s="35" t="s">
        <v>1631</v>
      </c>
    </row>
    <row r="33" spans="1:5" x14ac:dyDescent="0.2">
      <c r="A33" s="34" t="str">
        <f>HYPERLINK("http://www.daganm.co.il/sku/F0021/0.15","F0021/0.15-BLU")</f>
        <v>F0021/0.15-BLU</v>
      </c>
      <c r="B33" t="s">
        <v>6</v>
      </c>
      <c r="C33" s="2" t="s">
        <v>126</v>
      </c>
      <c r="D33" s="32"/>
      <c r="E33" s="35" t="s">
        <v>1632</v>
      </c>
    </row>
    <row r="34" spans="1:5" x14ac:dyDescent="0.2">
      <c r="A34" s="34" t="str">
        <f>HYPERLINK("http://www.daganm.co.il/sku/F0021/0.15","F0021/0.15-GR")</f>
        <v>F0021/0.15-GR</v>
      </c>
      <c r="B34" t="s">
        <v>6</v>
      </c>
      <c r="C34" s="2" t="s">
        <v>127</v>
      </c>
      <c r="D34" s="32"/>
      <c r="E34" s="35" t="s">
        <v>1633</v>
      </c>
    </row>
    <row r="35" spans="1:5" x14ac:dyDescent="0.2">
      <c r="A35" s="34" t="str">
        <f>HYPERLINK("http://www.daganm.co.il/sku/F0021/0.15","F0021/0.15-OR")</f>
        <v>F0021/0.15-OR</v>
      </c>
      <c r="B35" t="s">
        <v>6</v>
      </c>
      <c r="C35" s="2" t="s">
        <v>128</v>
      </c>
      <c r="D35" s="32"/>
      <c r="E35" s="35" t="s">
        <v>1634</v>
      </c>
    </row>
    <row r="36" spans="1:5" x14ac:dyDescent="0.2">
      <c r="A36" s="34" t="str">
        <f>HYPERLINK("http://www.daganm.co.il/sku/F0021/0.15","F0021/0.15-PU")</f>
        <v>F0021/0.15-PU</v>
      </c>
      <c r="B36" t="s">
        <v>6</v>
      </c>
      <c r="C36" s="2" t="s">
        <v>129</v>
      </c>
      <c r="D36" s="32"/>
      <c r="E36" s="35" t="s">
        <v>1635</v>
      </c>
    </row>
    <row r="37" spans="1:5" x14ac:dyDescent="0.2">
      <c r="A37" s="34" t="str">
        <f>HYPERLINK("http://www.daganm.co.il/sku/F0021/0.15","F0021/0.15-RE")</f>
        <v>F0021/0.15-RE</v>
      </c>
      <c r="B37" t="s">
        <v>6</v>
      </c>
      <c r="C37" s="2" t="s">
        <v>130</v>
      </c>
      <c r="D37" s="32"/>
      <c r="E37" s="35" t="s">
        <v>1636</v>
      </c>
    </row>
    <row r="38" spans="1:5" x14ac:dyDescent="0.2">
      <c r="A38" s="34" t="str">
        <f>HYPERLINK("http://www.daganm.co.il/sku/F0021/0.15","F0021/0.15-YE")</f>
        <v>F0021/0.15-YE</v>
      </c>
      <c r="B38" t="s">
        <v>6</v>
      </c>
      <c r="C38" s="2" t="s">
        <v>131</v>
      </c>
      <c r="D38" s="32"/>
      <c r="E38" s="35" t="s">
        <v>1637</v>
      </c>
    </row>
    <row r="39" spans="1:5" x14ac:dyDescent="0.2">
      <c r="A39" s="34" t="str">
        <f>HYPERLINK("http://www.daganm.co.il/sku/F0021/0.25","F0021/0.25-WH")</f>
        <v>F0021/0.25-WH</v>
      </c>
      <c r="B39" t="s">
        <v>6</v>
      </c>
      <c r="C39" s="2" t="s">
        <v>132</v>
      </c>
      <c r="D39" s="32"/>
      <c r="E39" s="35" t="s">
        <v>1638</v>
      </c>
    </row>
    <row r="40" spans="1:5" x14ac:dyDescent="0.2">
      <c r="A40" s="34" t="str">
        <f>HYPERLINK("http://www.daganm.co.il/sku/F0021/0.25","F0021/0.25-BLK")</f>
        <v>F0021/0.25-BLK</v>
      </c>
      <c r="B40" t="s">
        <v>6</v>
      </c>
      <c r="C40" s="2" t="s">
        <v>133</v>
      </c>
      <c r="D40" s="32"/>
      <c r="E40" s="35" t="s">
        <v>1639</v>
      </c>
    </row>
    <row r="41" spans="1:5" x14ac:dyDescent="0.2">
      <c r="A41" s="34" t="str">
        <f>HYPERLINK("http://www.daganm.co.il/sku/F0021/0.25","F0021/0.25-BLU")</f>
        <v>F0021/0.25-BLU</v>
      </c>
      <c r="B41" t="s">
        <v>6</v>
      </c>
      <c r="C41" s="2" t="s">
        <v>134</v>
      </c>
      <c r="D41" s="32"/>
      <c r="E41" s="35" t="s">
        <v>1640</v>
      </c>
    </row>
    <row r="42" spans="1:5" x14ac:dyDescent="0.2">
      <c r="A42" s="34" t="str">
        <f>HYPERLINK("http://www.daganm.co.il/sku/F0021/0.25","F0021/0.25-GR")</f>
        <v>F0021/0.25-GR</v>
      </c>
      <c r="B42" t="s">
        <v>6</v>
      </c>
      <c r="C42" s="2" t="s">
        <v>135</v>
      </c>
      <c r="D42" s="32"/>
      <c r="E42" s="35" t="s">
        <v>1641</v>
      </c>
    </row>
    <row r="43" spans="1:5" x14ac:dyDescent="0.2">
      <c r="A43" s="34" t="str">
        <f>HYPERLINK("http://www.daganm.co.il/sku/F0021/0.25","F0021/0.25-OR")</f>
        <v>F0021/0.25-OR</v>
      </c>
      <c r="B43" t="s">
        <v>6</v>
      </c>
      <c r="C43" s="2" t="s">
        <v>136</v>
      </c>
      <c r="D43" s="32"/>
      <c r="E43" s="35" t="s">
        <v>1642</v>
      </c>
    </row>
    <row r="44" spans="1:5" x14ac:dyDescent="0.2">
      <c r="A44" s="34" t="str">
        <f>HYPERLINK("http://www.daganm.co.il/sku/F0021/0.25","F0021/0.25-PU")</f>
        <v>F0021/0.25-PU</v>
      </c>
      <c r="B44" t="s">
        <v>6</v>
      </c>
      <c r="C44" s="2" t="s">
        <v>137</v>
      </c>
      <c r="D44" s="32"/>
      <c r="E44" s="35" t="s">
        <v>1643</v>
      </c>
    </row>
    <row r="45" spans="1:5" x14ac:dyDescent="0.2">
      <c r="A45" s="34" t="str">
        <f>HYPERLINK("http://www.daganm.co.il/sku/F0021/0.25","F0021/0.25-RE")</f>
        <v>F0021/0.25-RE</v>
      </c>
      <c r="B45" t="s">
        <v>6</v>
      </c>
      <c r="C45" s="2" t="s">
        <v>138</v>
      </c>
      <c r="D45" s="32"/>
      <c r="E45" s="35" t="s">
        <v>1644</v>
      </c>
    </row>
    <row r="46" spans="1:5" x14ac:dyDescent="0.2">
      <c r="A46" s="34" t="str">
        <f>HYPERLINK("http://www.daganm.co.il/sku/F0021/0.25","F0021/0.25-YE")</f>
        <v>F0021/0.25-YE</v>
      </c>
      <c r="B46" t="s">
        <v>6</v>
      </c>
      <c r="C46" s="2" t="s">
        <v>139</v>
      </c>
      <c r="D46" s="32"/>
      <c r="E46" s="35" t="s">
        <v>1645</v>
      </c>
    </row>
    <row r="47" spans="1:5" x14ac:dyDescent="0.2">
      <c r="A47" s="34" t="str">
        <f>HYPERLINK("http://www.daganm.co.il/sku/F0021/0.5","F0021/0.5-WH")</f>
        <v>F0021/0.5-WH</v>
      </c>
      <c r="B47" t="s">
        <v>6</v>
      </c>
      <c r="C47" s="2" t="s">
        <v>140</v>
      </c>
      <c r="D47" s="32"/>
      <c r="E47" s="35" t="s">
        <v>1646</v>
      </c>
    </row>
    <row r="48" spans="1:5" x14ac:dyDescent="0.2">
      <c r="A48" s="34" t="str">
        <f>HYPERLINK("http://www.daganm.co.il/sku/F0021/0.5","F0021/0.5-BLK")</f>
        <v>F0021/0.5-BLK</v>
      </c>
      <c r="B48" t="s">
        <v>6</v>
      </c>
      <c r="C48" s="2" t="s">
        <v>141</v>
      </c>
      <c r="D48" s="32"/>
      <c r="E48" s="35" t="s">
        <v>1647</v>
      </c>
    </row>
    <row r="49" spans="1:5" x14ac:dyDescent="0.2">
      <c r="A49" s="34" t="str">
        <f>HYPERLINK("http://www.daganm.co.il/sku/F0021/0.5","F0021/0.5-BLU")</f>
        <v>F0021/0.5-BLU</v>
      </c>
      <c r="B49" t="s">
        <v>6</v>
      </c>
      <c r="C49" s="2" t="s">
        <v>142</v>
      </c>
      <c r="D49" s="32"/>
      <c r="E49" s="35" t="s">
        <v>1648</v>
      </c>
    </row>
    <row r="50" spans="1:5" x14ac:dyDescent="0.2">
      <c r="A50" s="34" t="str">
        <f>HYPERLINK("http://www.daganm.co.il/sku/F0021/0.5","F0021/0.5-GR")</f>
        <v>F0021/0.5-GR</v>
      </c>
      <c r="B50" t="s">
        <v>6</v>
      </c>
      <c r="C50" s="2" t="s">
        <v>143</v>
      </c>
      <c r="D50" s="32"/>
      <c r="E50" s="35" t="s">
        <v>1649</v>
      </c>
    </row>
    <row r="51" spans="1:5" x14ac:dyDescent="0.2">
      <c r="A51" s="34" t="str">
        <f>HYPERLINK("http://www.daganm.co.il/sku/F0021/0.5","F0021/0.5-OR")</f>
        <v>F0021/0.5-OR</v>
      </c>
      <c r="B51" t="s">
        <v>6</v>
      </c>
      <c r="C51" s="2" t="s">
        <v>144</v>
      </c>
      <c r="D51" s="32"/>
      <c r="E51" s="35" t="s">
        <v>1650</v>
      </c>
    </row>
    <row r="52" spans="1:5" x14ac:dyDescent="0.2">
      <c r="A52" s="34" t="str">
        <f>HYPERLINK("http://www.daganm.co.il/sku/F0021/0.5","F0021/0.5-PU")</f>
        <v>F0021/0.5-PU</v>
      </c>
      <c r="B52" t="s">
        <v>6</v>
      </c>
      <c r="C52" s="2" t="s">
        <v>145</v>
      </c>
      <c r="D52" s="32"/>
      <c r="E52" s="35" t="s">
        <v>1651</v>
      </c>
    </row>
    <row r="53" spans="1:5" x14ac:dyDescent="0.2">
      <c r="A53" s="34" t="str">
        <f>HYPERLINK("http://www.daganm.co.il/sku/F0021/0.5","F0021/0.5-RE")</f>
        <v>F0021/0.5-RE</v>
      </c>
      <c r="B53" t="s">
        <v>6</v>
      </c>
      <c r="C53" s="2" t="s">
        <v>146</v>
      </c>
      <c r="D53" s="36"/>
      <c r="E53" s="35" t="s">
        <v>1652</v>
      </c>
    </row>
    <row r="54" spans="1:5" x14ac:dyDescent="0.2">
      <c r="A54" s="34" t="str">
        <f>HYPERLINK("http://www.daganm.co.il/sku/F0021/0.5","F0021/0.5-YE")</f>
        <v>F0021/0.5-YE</v>
      </c>
      <c r="B54" t="s">
        <v>6</v>
      </c>
      <c r="C54" s="2" t="s">
        <v>147</v>
      </c>
      <c r="D54" s="32"/>
      <c r="E54" s="35" t="s">
        <v>1653</v>
      </c>
    </row>
    <row r="55" spans="1:5" x14ac:dyDescent="0.2">
      <c r="A55" s="34" t="str">
        <f>HYPERLINK("http://www.daganm.co.il/sku/F0021/1","F0021/1-WH")</f>
        <v>F0021/1-WH</v>
      </c>
      <c r="B55" t="s">
        <v>6</v>
      </c>
      <c r="C55" s="2" t="s">
        <v>148</v>
      </c>
      <c r="D55" s="32"/>
      <c r="E55" s="35" t="s">
        <v>1654</v>
      </c>
    </row>
    <row r="56" spans="1:5" x14ac:dyDescent="0.2">
      <c r="A56" s="34" t="str">
        <f>HYPERLINK("http://www.daganm.co.il/sku/F0021/1","F0021/1-BLK")</f>
        <v>F0021/1-BLK</v>
      </c>
      <c r="B56" t="s">
        <v>6</v>
      </c>
      <c r="C56" s="2" t="s">
        <v>149</v>
      </c>
      <c r="D56" s="32"/>
      <c r="E56" s="35" t="s">
        <v>1655</v>
      </c>
    </row>
    <row r="57" spans="1:5" x14ac:dyDescent="0.2">
      <c r="A57" s="34" t="str">
        <f>HYPERLINK("http://www.daganm.co.il/sku/F0021/1","F0021/1-BLU")</f>
        <v>F0021/1-BLU</v>
      </c>
      <c r="B57" t="s">
        <v>6</v>
      </c>
      <c r="C57" s="2" t="s">
        <v>150</v>
      </c>
      <c r="D57" s="32"/>
      <c r="E57" s="35" t="s">
        <v>1656</v>
      </c>
    </row>
    <row r="58" spans="1:5" x14ac:dyDescent="0.2">
      <c r="A58" s="34" t="str">
        <f>HYPERLINK("http://www.daganm.co.il/sku/F0021/1","F0021/1-GR")</f>
        <v>F0021/1-GR</v>
      </c>
      <c r="B58" t="s">
        <v>6</v>
      </c>
      <c r="C58" s="2" t="s">
        <v>151</v>
      </c>
      <c r="D58" s="32"/>
      <c r="E58" s="35" t="s">
        <v>1657</v>
      </c>
    </row>
    <row r="59" spans="1:5" x14ac:dyDescent="0.2">
      <c r="A59" s="34" t="str">
        <f>HYPERLINK("http://www.daganm.co.il/sku/F0021/1","F0021/1-OR")</f>
        <v>F0021/1-OR</v>
      </c>
      <c r="B59" t="s">
        <v>6</v>
      </c>
      <c r="C59" s="2" t="s">
        <v>152</v>
      </c>
      <c r="D59" s="32"/>
      <c r="E59" s="35" t="s">
        <v>1658</v>
      </c>
    </row>
    <row r="60" spans="1:5" x14ac:dyDescent="0.2">
      <c r="A60" s="34" t="str">
        <f>HYPERLINK("http://www.daganm.co.il/sku/F0021/1","F0021/1-PU")</f>
        <v>F0021/1-PU</v>
      </c>
      <c r="B60" t="s">
        <v>6</v>
      </c>
      <c r="C60" s="2" t="s">
        <v>153</v>
      </c>
      <c r="D60" s="32"/>
      <c r="E60" s="35" t="s">
        <v>1659</v>
      </c>
    </row>
    <row r="61" spans="1:5" x14ac:dyDescent="0.2">
      <c r="A61" s="34" t="str">
        <f>HYPERLINK("http://www.daganm.co.il/sku/F0021/1","F0021/1-RE")</f>
        <v>F0021/1-RE</v>
      </c>
      <c r="B61" t="s">
        <v>6</v>
      </c>
      <c r="C61" s="2" t="s">
        <v>154</v>
      </c>
      <c r="D61" s="32"/>
      <c r="E61" s="35" t="s">
        <v>1660</v>
      </c>
    </row>
    <row r="62" spans="1:5" x14ac:dyDescent="0.2">
      <c r="A62" s="34" t="str">
        <f>HYPERLINK("http://www.daganm.co.il/sku/F0021/1","F0021/1-YE")</f>
        <v>F0021/1-YE</v>
      </c>
      <c r="B62" t="s">
        <v>6</v>
      </c>
      <c r="C62" s="2" t="s">
        <v>155</v>
      </c>
      <c r="D62" s="32"/>
      <c r="E62" s="35" t="s">
        <v>1661</v>
      </c>
    </row>
    <row r="63" spans="1:5" x14ac:dyDescent="0.2">
      <c r="A63" s="34" t="str">
        <f>HYPERLINK("http://www.daganm.co.il/sku/F0021/1.5","F0021/1.5-WH")</f>
        <v>F0021/1.5-WH</v>
      </c>
      <c r="B63" t="s">
        <v>6</v>
      </c>
      <c r="C63" s="2" t="s">
        <v>156</v>
      </c>
      <c r="D63" s="32"/>
      <c r="E63" s="35" t="s">
        <v>1662</v>
      </c>
    </row>
    <row r="64" spans="1:5" x14ac:dyDescent="0.2">
      <c r="A64" s="34" t="str">
        <f>HYPERLINK("http://www.daganm.co.il/sku/F0021/1.5","F0021/1.5-BLK")</f>
        <v>F0021/1.5-BLK</v>
      </c>
      <c r="B64" t="s">
        <v>6</v>
      </c>
      <c r="C64" s="2" t="s">
        <v>157</v>
      </c>
      <c r="D64" s="32">
        <v>45448</v>
      </c>
      <c r="E64" s="35" t="s">
        <v>1663</v>
      </c>
    </row>
    <row r="65" spans="1:5" x14ac:dyDescent="0.2">
      <c r="A65" s="34" t="str">
        <f>HYPERLINK("http://www.daganm.co.il/sku/F0021/1.5","F0021/1.5-BLU")</f>
        <v>F0021/1.5-BLU</v>
      </c>
      <c r="B65" t="s">
        <v>6</v>
      </c>
      <c r="C65" s="2" t="s">
        <v>158</v>
      </c>
      <c r="D65" s="32"/>
      <c r="E65" s="35" t="s">
        <v>1664</v>
      </c>
    </row>
    <row r="66" spans="1:5" x14ac:dyDescent="0.2">
      <c r="A66" s="34" t="str">
        <f>HYPERLINK("http://www.daganm.co.il/sku/F0021/1.5","F0021/1.5-GR")</f>
        <v>F0021/1.5-GR</v>
      </c>
      <c r="B66" t="s">
        <v>6</v>
      </c>
      <c r="C66" s="2" t="s">
        <v>159</v>
      </c>
      <c r="D66" s="32"/>
      <c r="E66" s="35" t="s">
        <v>1665</v>
      </c>
    </row>
    <row r="67" spans="1:5" x14ac:dyDescent="0.2">
      <c r="A67" s="34" t="str">
        <f>HYPERLINK("http://www.daganm.co.il/sku/F0021/1.5","F0021/1.5-OR")</f>
        <v>F0021/1.5-OR</v>
      </c>
      <c r="B67" t="s">
        <v>6</v>
      </c>
      <c r="C67" s="2" t="s">
        <v>160</v>
      </c>
      <c r="D67" s="32"/>
      <c r="E67" s="35" t="s">
        <v>1666</v>
      </c>
    </row>
    <row r="68" spans="1:5" x14ac:dyDescent="0.2">
      <c r="A68" s="34" t="str">
        <f>HYPERLINK("http://www.daganm.co.il/sku/F0021/1.5","F0021/1.5-PU")</f>
        <v>F0021/1.5-PU</v>
      </c>
      <c r="B68" t="s">
        <v>6</v>
      </c>
      <c r="C68" s="2" t="s">
        <v>161</v>
      </c>
      <c r="D68" s="32"/>
      <c r="E68" s="35" t="s">
        <v>1667</v>
      </c>
    </row>
    <row r="69" spans="1:5" x14ac:dyDescent="0.2">
      <c r="A69" s="34" t="str">
        <f>HYPERLINK("http://www.daganm.co.il/sku/F0021/1.5","F0021/1.5-RE")</f>
        <v>F0021/1.5-RE</v>
      </c>
      <c r="B69" t="s">
        <v>6</v>
      </c>
      <c r="C69" s="2" t="s">
        <v>162</v>
      </c>
      <c r="D69" s="32"/>
      <c r="E69" s="35" t="s">
        <v>1668</v>
      </c>
    </row>
    <row r="70" spans="1:5" x14ac:dyDescent="0.2">
      <c r="A70" s="34" t="str">
        <f>HYPERLINK("http://www.daganm.co.il/sku/F0021/1.5","F0021/1.5-YE")</f>
        <v>F0021/1.5-YE</v>
      </c>
      <c r="B70" t="s">
        <v>6</v>
      </c>
      <c r="C70" s="2" t="s">
        <v>163</v>
      </c>
      <c r="D70" s="32"/>
      <c r="E70" s="35" t="s">
        <v>1669</v>
      </c>
    </row>
    <row r="71" spans="1:5" x14ac:dyDescent="0.2">
      <c r="A71" s="34" t="str">
        <f>HYPERLINK("http://www.daganm.co.il/sku/F0021/2","F0021/2-WH")</f>
        <v>F0021/2-WH</v>
      </c>
      <c r="B71" t="s">
        <v>6</v>
      </c>
      <c r="C71" s="2" t="s">
        <v>164</v>
      </c>
      <c r="D71" s="32"/>
      <c r="E71" s="35" t="s">
        <v>1670</v>
      </c>
    </row>
    <row r="72" spans="1:5" x14ac:dyDescent="0.2">
      <c r="A72" s="34" t="str">
        <f>HYPERLINK("http://www.daganm.co.il/sku/F0021/2","F0021/2-BLK")</f>
        <v>F0021/2-BLK</v>
      </c>
      <c r="B72" t="s">
        <v>6</v>
      </c>
      <c r="C72" s="2" t="s">
        <v>165</v>
      </c>
      <c r="D72" s="32"/>
      <c r="E72" s="35" t="s">
        <v>1671</v>
      </c>
    </row>
    <row r="73" spans="1:5" x14ac:dyDescent="0.2">
      <c r="A73" s="34" t="str">
        <f>HYPERLINK("http://www.daganm.co.il/sku/F0021/2","F0021/2-BLU")</f>
        <v>F0021/2-BLU</v>
      </c>
      <c r="B73" t="s">
        <v>6</v>
      </c>
      <c r="C73" s="2" t="s">
        <v>166</v>
      </c>
      <c r="D73" s="32"/>
      <c r="E73" s="35" t="s">
        <v>1672</v>
      </c>
    </row>
    <row r="74" spans="1:5" x14ac:dyDescent="0.2">
      <c r="A74" s="34" t="str">
        <f>HYPERLINK("http://www.daganm.co.il/sku/F0021/2","F0021/2-GR")</f>
        <v>F0021/2-GR</v>
      </c>
      <c r="B74" t="s">
        <v>6</v>
      </c>
      <c r="C74" s="2" t="s">
        <v>167</v>
      </c>
      <c r="D74" s="32"/>
      <c r="E74" s="35" t="s">
        <v>1673</v>
      </c>
    </row>
    <row r="75" spans="1:5" x14ac:dyDescent="0.2">
      <c r="A75" s="34" t="str">
        <f>HYPERLINK("http://www.daganm.co.il/sku/F0021/2","F0021/2-OR")</f>
        <v>F0021/2-OR</v>
      </c>
      <c r="B75" t="s">
        <v>6</v>
      </c>
      <c r="C75" s="2" t="s">
        <v>168</v>
      </c>
      <c r="D75" s="32"/>
      <c r="E75" s="35" t="s">
        <v>1674</v>
      </c>
    </row>
    <row r="76" spans="1:5" x14ac:dyDescent="0.2">
      <c r="A76" s="34" t="str">
        <f>HYPERLINK("http://www.daganm.co.il/sku/F0021/2","F0021/2-PU")</f>
        <v>F0021/2-PU</v>
      </c>
      <c r="B76" t="s">
        <v>6</v>
      </c>
      <c r="C76" s="2" t="s">
        <v>169</v>
      </c>
      <c r="D76" s="32"/>
      <c r="E76" s="35" t="s">
        <v>1675</v>
      </c>
    </row>
    <row r="77" spans="1:5" x14ac:dyDescent="0.2">
      <c r="A77" s="34" t="str">
        <f>HYPERLINK("http://www.daganm.co.il/sku/F0021/2","F0021/2-RE")</f>
        <v>F0021/2-RE</v>
      </c>
      <c r="B77" t="s">
        <v>6</v>
      </c>
      <c r="C77" s="2" t="s">
        <v>170</v>
      </c>
      <c r="D77" s="32"/>
      <c r="E77" s="35" t="s">
        <v>1676</v>
      </c>
    </row>
    <row r="78" spans="1:5" x14ac:dyDescent="0.2">
      <c r="A78" s="34" t="str">
        <f>HYPERLINK("http://www.daganm.co.il/sku/F0021/2","F0021/2-YE")</f>
        <v>F0021/2-YE</v>
      </c>
      <c r="B78" t="s">
        <v>6</v>
      </c>
      <c r="C78" s="2" t="s">
        <v>171</v>
      </c>
      <c r="D78" s="32"/>
      <c r="E78" s="35" t="s">
        <v>1677</v>
      </c>
    </row>
    <row r="79" spans="1:5" x14ac:dyDescent="0.2">
      <c r="A79" s="34" t="str">
        <f>HYPERLINK("http://www.daganm.co.il/sku/F0021/2","F0021/2-BRD")</f>
        <v>F0021/2-BRD</v>
      </c>
      <c r="B79" t="s">
        <v>6</v>
      </c>
      <c r="C79" s="2" t="s">
        <v>172</v>
      </c>
      <c r="D79" s="32"/>
      <c r="E79" s="35" t="s">
        <v>1676</v>
      </c>
    </row>
    <row r="80" spans="1:5" x14ac:dyDescent="0.2">
      <c r="A80" s="34" t="str">
        <f>HYPERLINK("http://www.daganm.co.il/sku/F0021/3","F0021/3-WH")</f>
        <v>F0021/3-WH</v>
      </c>
      <c r="B80" t="s">
        <v>6</v>
      </c>
      <c r="C80" s="2" t="s">
        <v>173</v>
      </c>
      <c r="D80" s="32"/>
      <c r="E80" s="35" t="s">
        <v>1678</v>
      </c>
    </row>
    <row r="81" spans="1:5" x14ac:dyDescent="0.2">
      <c r="A81" s="34" t="str">
        <f>HYPERLINK("http://www.daganm.co.il/sku/F0021/3","F0021/3-BLK")</f>
        <v>F0021/3-BLK</v>
      </c>
      <c r="B81" t="s">
        <v>6</v>
      </c>
      <c r="C81" s="2" t="s">
        <v>174</v>
      </c>
      <c r="D81" s="32"/>
      <c r="E81" s="35" t="s">
        <v>1679</v>
      </c>
    </row>
    <row r="82" spans="1:5" x14ac:dyDescent="0.2">
      <c r="A82" s="34" t="str">
        <f>HYPERLINK("http://www.daganm.co.il/sku/F0021/3","F0021/3-BLU")</f>
        <v>F0021/3-BLU</v>
      </c>
      <c r="B82" t="s">
        <v>6</v>
      </c>
      <c r="C82" s="2" t="s">
        <v>175</v>
      </c>
      <c r="D82" s="32"/>
      <c r="E82" s="35" t="s">
        <v>1680</v>
      </c>
    </row>
    <row r="83" spans="1:5" x14ac:dyDescent="0.2">
      <c r="A83" s="34" t="str">
        <f>HYPERLINK("http://www.daganm.co.il/sku/F0021/3","F0021/3-GR")</f>
        <v>F0021/3-GR</v>
      </c>
      <c r="B83" t="s">
        <v>6</v>
      </c>
      <c r="C83" s="2" t="s">
        <v>176</v>
      </c>
      <c r="D83" s="32"/>
      <c r="E83" s="35" t="s">
        <v>1681</v>
      </c>
    </row>
    <row r="84" spans="1:5" x14ac:dyDescent="0.2">
      <c r="A84" s="34" t="str">
        <f>HYPERLINK("http://www.daganm.co.il/sku/F0021/3","F0021/3-OR")</f>
        <v>F0021/3-OR</v>
      </c>
      <c r="B84" t="s">
        <v>6</v>
      </c>
      <c r="C84" s="2" t="s">
        <v>177</v>
      </c>
      <c r="D84" s="32"/>
      <c r="E84" s="35" t="s">
        <v>1682</v>
      </c>
    </row>
    <row r="85" spans="1:5" x14ac:dyDescent="0.2">
      <c r="A85" s="34" t="str">
        <f>HYPERLINK("http://www.daganm.co.il/sku/F0021/3","F0021/3-PU")</f>
        <v>F0021/3-PU</v>
      </c>
      <c r="B85" t="s">
        <v>6</v>
      </c>
      <c r="C85" s="2" t="s">
        <v>178</v>
      </c>
      <c r="D85" s="32"/>
      <c r="E85" s="35" t="s">
        <v>1683</v>
      </c>
    </row>
    <row r="86" spans="1:5" x14ac:dyDescent="0.2">
      <c r="A86" s="34" t="str">
        <f>HYPERLINK("http://www.daganm.co.il/sku/F0021/3","F0021/3-RE")</f>
        <v>F0021/3-RE</v>
      </c>
      <c r="B86" t="s">
        <v>6</v>
      </c>
      <c r="C86" s="2" t="s">
        <v>179</v>
      </c>
      <c r="D86" s="32"/>
      <c r="E86" s="35" t="s">
        <v>1684</v>
      </c>
    </row>
    <row r="87" spans="1:5" x14ac:dyDescent="0.2">
      <c r="A87" s="34" t="str">
        <f>HYPERLINK("http://www.daganm.co.il/sku/F0021/3","F0021/3-YE")</f>
        <v>F0021/3-YE</v>
      </c>
      <c r="B87" t="s">
        <v>6</v>
      </c>
      <c r="C87" s="2" t="s">
        <v>180</v>
      </c>
      <c r="D87" s="32"/>
      <c r="E87" s="35" t="s">
        <v>1685</v>
      </c>
    </row>
    <row r="88" spans="1:5" x14ac:dyDescent="0.2">
      <c r="A88" s="34" t="str">
        <f>HYPERLINK("http://www.daganm.co.il/sku/F0021/3","F0021/3-BRD")</f>
        <v>F0021/3-BRD</v>
      </c>
      <c r="B88" t="s">
        <v>6</v>
      </c>
      <c r="C88" s="2" t="s">
        <v>181</v>
      </c>
      <c r="D88" s="32"/>
      <c r="E88" s="35" t="s">
        <v>1684</v>
      </c>
    </row>
    <row r="89" spans="1:5" x14ac:dyDescent="0.2">
      <c r="A89" s="34" t="str">
        <f>HYPERLINK("http://www.daganm.co.il/sku/F0021/5","F0021/5-WH")</f>
        <v>F0021/5-WH</v>
      </c>
      <c r="B89" t="s">
        <v>6</v>
      </c>
      <c r="C89" s="2" t="s">
        <v>182</v>
      </c>
      <c r="D89" s="36"/>
      <c r="E89" s="35" t="s">
        <v>1686</v>
      </c>
    </row>
    <row r="90" spans="1:5" x14ac:dyDescent="0.2">
      <c r="A90" s="34" t="str">
        <f>HYPERLINK("http://www.daganm.co.il/sku/F0021/5","F0021/5-BLK")</f>
        <v>F0021/5-BLK</v>
      </c>
      <c r="B90" t="s">
        <v>6</v>
      </c>
      <c r="C90" s="2" t="s">
        <v>183</v>
      </c>
      <c r="D90" s="32"/>
      <c r="E90" s="35" t="s">
        <v>1687</v>
      </c>
    </row>
    <row r="91" spans="1:5" x14ac:dyDescent="0.2">
      <c r="A91" s="34" t="str">
        <f>HYPERLINK("http://www.daganm.co.il/sku/F0021/5","F0021/5-BLU")</f>
        <v>F0021/5-BLU</v>
      </c>
      <c r="B91" t="s">
        <v>6</v>
      </c>
      <c r="C91" s="2" t="s">
        <v>184</v>
      </c>
      <c r="D91" s="32"/>
      <c r="E91" s="35" t="s">
        <v>1688</v>
      </c>
    </row>
    <row r="92" spans="1:5" x14ac:dyDescent="0.2">
      <c r="A92" s="34" t="str">
        <f>HYPERLINK("http://www.daganm.co.il/sku/F0021/5","F0021/5-GR")</f>
        <v>F0021/5-GR</v>
      </c>
      <c r="B92" t="s">
        <v>6</v>
      </c>
      <c r="C92" s="2" t="s">
        <v>185</v>
      </c>
      <c r="D92" s="32"/>
      <c r="E92" s="35" t="s">
        <v>1689</v>
      </c>
    </row>
    <row r="93" spans="1:5" x14ac:dyDescent="0.2">
      <c r="A93" s="34" t="str">
        <f>HYPERLINK("http://www.daganm.co.il/sku/F0021/5","F0021/5-OR")</f>
        <v>F0021/5-OR</v>
      </c>
      <c r="B93" t="s">
        <v>6</v>
      </c>
      <c r="C93" s="2" t="s">
        <v>186</v>
      </c>
      <c r="D93" s="32"/>
      <c r="E93" s="35" t="s">
        <v>1690</v>
      </c>
    </row>
    <row r="94" spans="1:5" x14ac:dyDescent="0.2">
      <c r="A94" s="34" t="str">
        <f>HYPERLINK("http://www.daganm.co.il/sku/F0021/5","F0021/5-PU")</f>
        <v>F0021/5-PU</v>
      </c>
      <c r="B94" t="s">
        <v>6</v>
      </c>
      <c r="C94" s="2" t="s">
        <v>187</v>
      </c>
      <c r="D94" s="32"/>
      <c r="E94" s="35" t="s">
        <v>1691</v>
      </c>
    </row>
    <row r="95" spans="1:5" x14ac:dyDescent="0.2">
      <c r="A95" s="34" t="str">
        <f>HYPERLINK("http://www.daganm.co.il/sku/F0021/5","F0021/5-RE")</f>
        <v>F0021/5-RE</v>
      </c>
      <c r="B95" t="s">
        <v>6</v>
      </c>
      <c r="C95" s="2" t="s">
        <v>188</v>
      </c>
      <c r="D95" s="32"/>
      <c r="E95" s="35" t="s">
        <v>1692</v>
      </c>
    </row>
    <row r="96" spans="1:5" x14ac:dyDescent="0.2">
      <c r="A96" s="34" t="str">
        <f>HYPERLINK("http://www.daganm.co.il/sku/F0021/5","F0021/5-YE")</f>
        <v>F0021/5-YE</v>
      </c>
      <c r="B96" t="s">
        <v>6</v>
      </c>
      <c r="C96" s="2" t="s">
        <v>189</v>
      </c>
      <c r="D96" s="32"/>
      <c r="E96" s="35" t="s">
        <v>1693</v>
      </c>
    </row>
    <row r="97" spans="1:5" x14ac:dyDescent="0.2">
      <c r="A97" s="34" t="str">
        <f>HYPERLINK("http://www.daganm.co.il/sku/F0021/5","F0021/5-BRD")</f>
        <v>F0021/5-BRD</v>
      </c>
      <c r="B97" t="s">
        <v>6</v>
      </c>
      <c r="C97" s="2" t="s">
        <v>190</v>
      </c>
      <c r="D97" s="32"/>
      <c r="E97" s="35" t="s">
        <v>1692</v>
      </c>
    </row>
    <row r="98" spans="1:5" x14ac:dyDescent="0.2">
      <c r="A98" s="34" t="str">
        <f>HYPERLINK("http://www.daganm.co.il/sku/F0021/7","F0021/7-WH")</f>
        <v>F0021/7-WH</v>
      </c>
      <c r="B98" t="s">
        <v>6</v>
      </c>
      <c r="C98" s="2" t="s">
        <v>191</v>
      </c>
      <c r="D98" s="32"/>
      <c r="E98" s="35" t="s">
        <v>1694</v>
      </c>
    </row>
    <row r="99" spans="1:5" x14ac:dyDescent="0.2">
      <c r="A99" s="34" t="str">
        <f>HYPERLINK("http://www.daganm.co.il/sku/F0021/7","F0021/7-BLK")</f>
        <v>F0021/7-BLK</v>
      </c>
      <c r="B99" t="s">
        <v>6</v>
      </c>
      <c r="C99" s="2" t="s">
        <v>192</v>
      </c>
      <c r="D99" s="36"/>
      <c r="E99" s="35" t="s">
        <v>1695</v>
      </c>
    </row>
    <row r="100" spans="1:5" x14ac:dyDescent="0.2">
      <c r="A100" s="34" t="str">
        <f>HYPERLINK("http://www.daganm.co.il/sku/F0021/7","F0021/7-BLU")</f>
        <v>F0021/7-BLU</v>
      </c>
      <c r="B100" t="s">
        <v>6</v>
      </c>
      <c r="C100" s="2" t="s">
        <v>193</v>
      </c>
      <c r="D100" s="32"/>
      <c r="E100" s="35" t="s">
        <v>1696</v>
      </c>
    </row>
    <row r="101" spans="1:5" x14ac:dyDescent="0.2">
      <c r="A101" s="34" t="str">
        <f>HYPERLINK("http://www.daganm.co.il/sku/F0021/7","F0021/7-GR")</f>
        <v>F0021/7-GR</v>
      </c>
      <c r="B101" t="s">
        <v>6</v>
      </c>
      <c r="C101" s="2" t="s">
        <v>194</v>
      </c>
      <c r="D101" s="32"/>
      <c r="E101" s="35" t="s">
        <v>1697</v>
      </c>
    </row>
    <row r="102" spans="1:5" x14ac:dyDescent="0.2">
      <c r="A102" s="34" t="str">
        <f>HYPERLINK("http://www.daganm.co.il/sku/F0021/7","F0021/7-OR")</f>
        <v>F0021/7-OR</v>
      </c>
      <c r="B102" t="s">
        <v>6</v>
      </c>
      <c r="C102" s="2" t="s">
        <v>195</v>
      </c>
      <c r="D102" s="32"/>
      <c r="E102" s="35" t="s">
        <v>1698</v>
      </c>
    </row>
    <row r="103" spans="1:5" x14ac:dyDescent="0.2">
      <c r="A103" s="34" t="str">
        <f>HYPERLINK("http://www.daganm.co.il/sku/F0021/7","F0021/7-PU")</f>
        <v>F0021/7-PU</v>
      </c>
      <c r="B103" t="s">
        <v>6</v>
      </c>
      <c r="C103" s="2" t="s">
        <v>196</v>
      </c>
      <c r="D103" s="32"/>
      <c r="E103" s="35" t="s">
        <v>1699</v>
      </c>
    </row>
    <row r="104" spans="1:5" x14ac:dyDescent="0.2">
      <c r="A104" s="34" t="str">
        <f>HYPERLINK("http://www.daganm.co.il/sku/F0021/7","F0021/7-RE")</f>
        <v>F0021/7-RE</v>
      </c>
      <c r="B104" t="s">
        <v>6</v>
      </c>
      <c r="C104" s="2" t="s">
        <v>197</v>
      </c>
      <c r="D104" s="32"/>
      <c r="E104" s="35" t="s">
        <v>1700</v>
      </c>
    </row>
    <row r="105" spans="1:5" x14ac:dyDescent="0.2">
      <c r="A105" s="34" t="str">
        <f>HYPERLINK("http://www.daganm.co.il/sku/F0021/7","F0021/7-YE")</f>
        <v>F0021/7-YE</v>
      </c>
      <c r="B105" t="s">
        <v>6</v>
      </c>
      <c r="C105" s="2" t="s">
        <v>198</v>
      </c>
      <c r="D105" s="32"/>
      <c r="E105" s="35" t="s">
        <v>1701</v>
      </c>
    </row>
    <row r="106" spans="1:5" x14ac:dyDescent="0.2">
      <c r="A106" s="34" t="str">
        <f>HYPERLINK("http://www.daganm.co.il/sku/F0021/7","F0021/7-BRD")</f>
        <v>F0021/7-BRD</v>
      </c>
      <c r="B106" t="s">
        <v>6</v>
      </c>
      <c r="C106" s="2" t="s">
        <v>199</v>
      </c>
      <c r="D106" s="32"/>
      <c r="E106" s="35" t="s">
        <v>1700</v>
      </c>
    </row>
    <row r="107" spans="1:5" x14ac:dyDescent="0.2">
      <c r="A107" s="34" t="str">
        <f>HYPERLINK("http://www.daganm.co.il/sku/F0021/10","F0021/10-WH")</f>
        <v>F0021/10-WH</v>
      </c>
      <c r="B107" t="s">
        <v>6</v>
      </c>
      <c r="C107" s="2" t="s">
        <v>200</v>
      </c>
      <c r="D107" s="36"/>
      <c r="E107" s="35" t="s">
        <v>1702</v>
      </c>
    </row>
    <row r="108" spans="1:5" x14ac:dyDescent="0.2">
      <c r="A108" s="34" t="str">
        <f>HYPERLINK("http://www.daganm.co.il/sku/F0021/10","F0021/10-BLK")</f>
        <v>F0021/10-BLK</v>
      </c>
      <c r="B108" t="s">
        <v>6</v>
      </c>
      <c r="C108" s="2" t="s">
        <v>201</v>
      </c>
      <c r="D108" s="32"/>
      <c r="E108" s="35" t="s">
        <v>1703</v>
      </c>
    </row>
    <row r="109" spans="1:5" x14ac:dyDescent="0.2">
      <c r="A109" s="34" t="str">
        <f>HYPERLINK("http://www.daganm.co.il/sku/F0021/10","F0021/10-BLU")</f>
        <v>F0021/10-BLU</v>
      </c>
      <c r="B109" t="s">
        <v>6</v>
      </c>
      <c r="C109" s="2" t="s">
        <v>202</v>
      </c>
      <c r="D109" s="32"/>
      <c r="E109" s="35" t="s">
        <v>1704</v>
      </c>
    </row>
    <row r="110" spans="1:5" x14ac:dyDescent="0.2">
      <c r="A110" s="34" t="str">
        <f>HYPERLINK("http://www.daganm.co.il/sku/F0021/10","F0021/10-GR")</f>
        <v>F0021/10-GR</v>
      </c>
      <c r="B110" t="s">
        <v>6</v>
      </c>
      <c r="C110" s="2" t="s">
        <v>203</v>
      </c>
      <c r="D110" s="32"/>
      <c r="E110" s="35" t="s">
        <v>1705</v>
      </c>
    </row>
    <row r="111" spans="1:5" x14ac:dyDescent="0.2">
      <c r="A111" s="34" t="str">
        <f>HYPERLINK("http://www.daganm.co.il/sku/F0021/10","F0021/10-OR")</f>
        <v>F0021/10-OR</v>
      </c>
      <c r="B111" t="s">
        <v>6</v>
      </c>
      <c r="C111" s="2" t="s">
        <v>204</v>
      </c>
      <c r="D111" s="32"/>
      <c r="E111" s="35" t="s">
        <v>1706</v>
      </c>
    </row>
    <row r="112" spans="1:5" x14ac:dyDescent="0.2">
      <c r="A112" s="34" t="str">
        <f>HYPERLINK("http://www.daganm.co.il/sku/F0021/10","F0021/10-PU")</f>
        <v>F0021/10-PU</v>
      </c>
      <c r="B112" t="s">
        <v>6</v>
      </c>
      <c r="C112" s="2" t="s">
        <v>205</v>
      </c>
      <c r="D112" s="32"/>
      <c r="E112" s="35" t="s">
        <v>1707</v>
      </c>
    </row>
    <row r="113" spans="1:5" x14ac:dyDescent="0.2">
      <c r="A113" s="34" t="str">
        <f>HYPERLINK("http://www.daganm.co.il/sku/F0021/10","F0021/10-RE")</f>
        <v>F0021/10-RE</v>
      </c>
      <c r="B113" t="s">
        <v>6</v>
      </c>
      <c r="C113" s="2" t="s">
        <v>206</v>
      </c>
      <c r="D113" s="32"/>
      <c r="E113" s="35" t="s">
        <v>1708</v>
      </c>
    </row>
    <row r="114" spans="1:5" x14ac:dyDescent="0.2">
      <c r="A114" s="34" t="str">
        <f>HYPERLINK("http://www.daganm.co.il/sku/F0021/10","F0021/10-YE")</f>
        <v>F0021/10-YE</v>
      </c>
      <c r="B114" t="s">
        <v>6</v>
      </c>
      <c r="C114" s="2" t="s">
        <v>207</v>
      </c>
      <c r="D114" s="32"/>
      <c r="E114" s="35" t="s">
        <v>1709</v>
      </c>
    </row>
    <row r="115" spans="1:5" x14ac:dyDescent="0.2">
      <c r="A115" s="34" t="str">
        <f>HYPERLINK("http://www.daganm.co.il/sku/F0021/10","F0021/10-BRD")</f>
        <v>F0021/10-BRD</v>
      </c>
      <c r="B115" t="s">
        <v>6</v>
      </c>
      <c r="C115" s="2" t="s">
        <v>208</v>
      </c>
      <c r="D115" s="32"/>
      <c r="E115" s="35" t="s">
        <v>1708</v>
      </c>
    </row>
    <row r="116" spans="1:5" x14ac:dyDescent="0.2">
      <c r="A116" s="34" t="str">
        <f>HYPERLINK("http://www.daganm.co.il/sku/F0021/15-WH","F0021/15-WH")</f>
        <v>F0021/15-WH</v>
      </c>
      <c r="B116" t="s">
        <v>6</v>
      </c>
      <c r="C116" s="2" t="s">
        <v>209</v>
      </c>
      <c r="D116" s="32"/>
      <c r="E116" s="35" t="s">
        <v>1710</v>
      </c>
    </row>
    <row r="117" spans="1:5" x14ac:dyDescent="0.2">
      <c r="A117" s="34" t="str">
        <f>HYPERLINK("http://www.daganm.co.il/sku/F0021/15-BLK","F0021/15-BLK")</f>
        <v>F0021/15-BLK</v>
      </c>
      <c r="B117" t="s">
        <v>6</v>
      </c>
      <c r="C117" s="2" t="s">
        <v>210</v>
      </c>
      <c r="D117" s="32"/>
      <c r="E117" s="35" t="s">
        <v>1711</v>
      </c>
    </row>
    <row r="118" spans="1:5" x14ac:dyDescent="0.2">
      <c r="A118" s="34" t="str">
        <f>HYPERLINK("http://www.daganm.co.il/sku/F0021/15-BLU","F0021/15-BLU")</f>
        <v>F0021/15-BLU</v>
      </c>
      <c r="B118" t="s">
        <v>6</v>
      </c>
      <c r="C118" s="2" t="s">
        <v>211</v>
      </c>
      <c r="D118" s="32"/>
      <c r="E118" s="32" t="s">
        <v>1712</v>
      </c>
    </row>
    <row r="119" spans="1:5" x14ac:dyDescent="0.2">
      <c r="A119" s="34" t="str">
        <f>HYPERLINK("http://www.daganm.co.il/sku/F0021/15-GR","F0021/15-GR")</f>
        <v>F0021/15-GR</v>
      </c>
      <c r="B119" t="s">
        <v>6</v>
      </c>
      <c r="C119" s="2" t="s">
        <v>212</v>
      </c>
      <c r="D119" s="32"/>
      <c r="E119" s="35" t="s">
        <v>1713</v>
      </c>
    </row>
    <row r="120" spans="1:5" x14ac:dyDescent="0.2">
      <c r="A120" s="34" t="str">
        <f>HYPERLINK("http://www.daganm.co.il/sku/F0021/15-OR","F0021/15-OR")</f>
        <v>F0021/15-OR</v>
      </c>
      <c r="B120" t="s">
        <v>6</v>
      </c>
      <c r="C120" s="2" t="s">
        <v>213</v>
      </c>
      <c r="D120" s="32"/>
      <c r="E120" s="35" t="s">
        <v>1714</v>
      </c>
    </row>
    <row r="121" spans="1:5" x14ac:dyDescent="0.2">
      <c r="A121" s="34" t="str">
        <f>HYPERLINK("http://www.daganm.co.il/sku/F0021/15-PU","F0021/15-PU")</f>
        <v>F0021/15-PU</v>
      </c>
      <c r="B121" t="s">
        <v>6</v>
      </c>
      <c r="C121" s="2" t="s">
        <v>214</v>
      </c>
      <c r="D121" s="32"/>
      <c r="E121" s="35" t="s">
        <v>1715</v>
      </c>
    </row>
    <row r="122" spans="1:5" x14ac:dyDescent="0.2">
      <c r="A122" s="34" t="str">
        <f>HYPERLINK("http://www.daganm.co.il/sku/F0021/15-RE","F0021/15-RE")</f>
        <v>F0021/15-RE</v>
      </c>
      <c r="B122" t="s">
        <v>6</v>
      </c>
      <c r="C122" s="2" t="s">
        <v>215</v>
      </c>
      <c r="D122" s="32"/>
      <c r="E122" s="35" t="s">
        <v>1716</v>
      </c>
    </row>
    <row r="123" spans="1:5" x14ac:dyDescent="0.2">
      <c r="A123" s="34" t="str">
        <f>HYPERLINK("http://www.daganm.co.il/sku/F0021/15-YE","F0021/15-YE")</f>
        <v>F0021/15-YE</v>
      </c>
      <c r="B123" t="s">
        <v>6</v>
      </c>
      <c r="C123" s="2" t="s">
        <v>216</v>
      </c>
      <c r="D123" s="32"/>
      <c r="E123" s="35" t="s">
        <v>1717</v>
      </c>
    </row>
    <row r="124" spans="1:5" x14ac:dyDescent="0.2">
      <c r="B124"/>
      <c r="C124" s="33" t="s">
        <v>9</v>
      </c>
      <c r="D124" s="32"/>
      <c r="E124" s="35"/>
    </row>
    <row r="125" spans="1:5" x14ac:dyDescent="0.2">
      <c r="A125" s="34" t="str">
        <f>HYPERLINK("http://www.daganm.co.il/sku/FTP-0024/0.25","FTP-0024/0.25")</f>
        <v>FTP-0024/0.25</v>
      </c>
      <c r="B125" t="s">
        <v>6</v>
      </c>
      <c r="C125" s="2" t="s">
        <v>217</v>
      </c>
      <c r="D125" s="32"/>
      <c r="E125" s="35" t="s">
        <v>1718</v>
      </c>
    </row>
    <row r="126" spans="1:5" x14ac:dyDescent="0.2">
      <c r="A126" s="34" t="str">
        <f>HYPERLINK("http://www.daganm.co.il/sku/FTP-0024/0.5","FTP-0024/0.5")</f>
        <v>FTP-0024/0.5</v>
      </c>
      <c r="B126" t="s">
        <v>6</v>
      </c>
      <c r="C126" s="2" t="s">
        <v>218</v>
      </c>
      <c r="D126" s="32"/>
      <c r="E126" s="35" t="s">
        <v>1719</v>
      </c>
    </row>
    <row r="127" spans="1:5" x14ac:dyDescent="0.2">
      <c r="A127" s="34" t="str">
        <f>HYPERLINK("http://www.daganm.co.il/sku/FTP-0024/1","FTP-0024/1")</f>
        <v>FTP-0024/1</v>
      </c>
      <c r="B127" t="s">
        <v>6</v>
      </c>
      <c r="C127" s="2" t="s">
        <v>219</v>
      </c>
      <c r="D127" s="32"/>
      <c r="E127" s="35" t="s">
        <v>1720</v>
      </c>
    </row>
    <row r="128" spans="1:5" x14ac:dyDescent="0.2">
      <c r="A128" s="34" t="str">
        <f>HYPERLINK("http://www.daganm.co.il/sku/FTP-0024/1.5","FTP-0024/1.5")</f>
        <v>FTP-0024/1.5</v>
      </c>
      <c r="B128" t="s">
        <v>6</v>
      </c>
      <c r="C128" s="2" t="s">
        <v>220</v>
      </c>
      <c r="D128" s="32"/>
      <c r="E128" s="35" t="s">
        <v>1721</v>
      </c>
    </row>
    <row r="129" spans="1:5" x14ac:dyDescent="0.2">
      <c r="A129" s="34" t="str">
        <f>HYPERLINK("http://www.daganm.co.il/sku/FTP-0024/2","FTP-0024/2")</f>
        <v>FTP-0024/2</v>
      </c>
      <c r="B129" t="s">
        <v>6</v>
      </c>
      <c r="C129" s="2" t="s">
        <v>221</v>
      </c>
      <c r="D129" s="32"/>
      <c r="E129" s="32" t="s">
        <v>1722</v>
      </c>
    </row>
    <row r="130" spans="1:5" x14ac:dyDescent="0.2">
      <c r="A130" s="34" t="str">
        <f>HYPERLINK("http://www.daganm.co.il/sku/FTP-0024/3","FTP-0024/3")</f>
        <v>FTP-0024/3</v>
      </c>
      <c r="B130" t="s">
        <v>6</v>
      </c>
      <c r="C130" s="2" t="s">
        <v>222</v>
      </c>
      <c r="D130" s="32"/>
      <c r="E130" s="35" t="s">
        <v>1723</v>
      </c>
    </row>
    <row r="131" spans="1:5" x14ac:dyDescent="0.2">
      <c r="A131" s="34" t="str">
        <f>HYPERLINK("http://www.daganm.co.il/sku/FTP-0024/5","FTP-0024/5")</f>
        <v>FTP-0024/5</v>
      </c>
      <c r="B131" t="s">
        <v>6</v>
      </c>
      <c r="C131" s="2" t="s">
        <v>223</v>
      </c>
      <c r="D131" s="32"/>
      <c r="E131" s="35" t="s">
        <v>1724</v>
      </c>
    </row>
    <row r="132" spans="1:5" x14ac:dyDescent="0.2">
      <c r="A132" s="34" t="str">
        <f>HYPERLINK("http://www.daganm.co.il/sku/FTP-0024/10","FTP-0024/10")</f>
        <v>FTP-0024/10</v>
      </c>
      <c r="B132" t="s">
        <v>6</v>
      </c>
      <c r="C132" s="2" t="s">
        <v>224</v>
      </c>
      <c r="D132" s="32">
        <v>45448</v>
      </c>
      <c r="E132" s="35" t="s">
        <v>1725</v>
      </c>
    </row>
    <row r="133" spans="1:5" x14ac:dyDescent="0.2">
      <c r="A133" s="34" t="str">
        <f>HYPERLINK("http://www.daganm.co.il/sku/FTP-0024/15","FTP-0024/15")</f>
        <v>FTP-0024/15</v>
      </c>
      <c r="B133" t="s">
        <v>6</v>
      </c>
      <c r="C133" s="2" t="s">
        <v>225</v>
      </c>
      <c r="D133" s="32"/>
      <c r="E133" s="35" t="s">
        <v>1726</v>
      </c>
    </row>
    <row r="134" spans="1:5" x14ac:dyDescent="0.2">
      <c r="A134" s="34" t="str">
        <f>HYPERLINK("http://www.daganm.co.il/sku/FTP-0024/20","FTP-0024/20")</f>
        <v>FTP-0024/20</v>
      </c>
      <c r="B134" t="s">
        <v>6</v>
      </c>
      <c r="C134" s="2" t="s">
        <v>226</v>
      </c>
      <c r="D134" s="32"/>
      <c r="E134" s="35" t="s">
        <v>1727</v>
      </c>
    </row>
    <row r="135" spans="1:5" x14ac:dyDescent="0.2">
      <c r="B135"/>
      <c r="C135" s="33" t="s">
        <v>11</v>
      </c>
      <c r="D135" s="32"/>
      <c r="E135" s="35"/>
    </row>
    <row r="136" spans="1:5" x14ac:dyDescent="0.2">
      <c r="A136" s="34" t="str">
        <f>HYPERLINK("http://www.daganm.co.il/sku/FTP-0010/0.15","FTP-0010/0.15")</f>
        <v>FTP-0010/0.15</v>
      </c>
      <c r="B136" t="s">
        <v>6</v>
      </c>
      <c r="C136" s="2" t="s">
        <v>245</v>
      </c>
      <c r="D136" s="32"/>
      <c r="E136" s="35" t="s">
        <v>1746</v>
      </c>
    </row>
    <row r="137" spans="1:5" x14ac:dyDescent="0.2">
      <c r="A137" s="34" t="str">
        <f>HYPERLINK("http://www.daganm.co.il/sku/FTP-0010/0.2","FTP-0010/0.2")</f>
        <v>FTP-0010/0.2</v>
      </c>
      <c r="B137" t="s">
        <v>6</v>
      </c>
      <c r="C137" s="2" t="s">
        <v>246</v>
      </c>
      <c r="D137" s="32"/>
      <c r="E137" s="35" t="s">
        <v>1747</v>
      </c>
    </row>
    <row r="138" spans="1:5" x14ac:dyDescent="0.2">
      <c r="A138" s="34" t="str">
        <f>HYPERLINK("http://www.daganm.co.il/sku/FTP-0010/0.3","FTP-0010/0.3")</f>
        <v>FTP-0010/0.3</v>
      </c>
      <c r="B138" t="s">
        <v>6</v>
      </c>
      <c r="C138" s="2" t="s">
        <v>247</v>
      </c>
      <c r="D138" s="32"/>
      <c r="E138" s="35" t="s">
        <v>1748</v>
      </c>
    </row>
    <row r="139" spans="1:5" x14ac:dyDescent="0.2">
      <c r="A139" s="34" t="str">
        <f>HYPERLINK("http://www.daganm.co.il/sku/FTP-0010/0.25","FTP-0010/0.25")</f>
        <v>FTP-0010/0.25</v>
      </c>
      <c r="B139" t="s">
        <v>6</v>
      </c>
      <c r="C139" s="2" t="s">
        <v>248</v>
      </c>
      <c r="D139" s="32"/>
      <c r="E139" s="35" t="s">
        <v>1749</v>
      </c>
    </row>
    <row r="140" spans="1:5" x14ac:dyDescent="0.2">
      <c r="A140" s="34" t="str">
        <f>HYPERLINK("http://www.daganm.co.il/sku/FTP-0010/0.5","FTP-0010/0.5")</f>
        <v>FTP-0010/0.5</v>
      </c>
      <c r="B140" t="s">
        <v>6</v>
      </c>
      <c r="C140" s="2" t="s">
        <v>249</v>
      </c>
      <c r="D140" s="32"/>
      <c r="E140" s="35" t="s">
        <v>1750</v>
      </c>
    </row>
    <row r="141" spans="1:5" x14ac:dyDescent="0.2">
      <c r="A141" s="34" t="str">
        <f>HYPERLINK("http://www.daganm.co.il/sku/FTP-0010/1","FTP-0010/1")</f>
        <v>FTP-0010/1</v>
      </c>
      <c r="B141" t="s">
        <v>6</v>
      </c>
      <c r="C141" s="2" t="s">
        <v>250</v>
      </c>
      <c r="D141" s="32"/>
      <c r="E141" s="35" t="s">
        <v>1751</v>
      </c>
    </row>
    <row r="142" spans="1:5" x14ac:dyDescent="0.2">
      <c r="A142" s="34" t="str">
        <f>HYPERLINK("http://www.daganm.co.il/sku/FTP-0010/1.5","FTP-0010/1.5")</f>
        <v>FTP-0010/1.5</v>
      </c>
      <c r="B142" t="s">
        <v>6</v>
      </c>
      <c r="C142" s="2" t="s">
        <v>251</v>
      </c>
      <c r="D142" s="32"/>
      <c r="E142" s="35" t="s">
        <v>1752</v>
      </c>
    </row>
    <row r="143" spans="1:5" x14ac:dyDescent="0.2">
      <c r="A143" s="34" t="str">
        <f>HYPERLINK("http://www.daganm.co.il/sku/FTP-0010/2","FTP-0010/2")</f>
        <v>FTP-0010/2</v>
      </c>
      <c r="B143" t="s">
        <v>6</v>
      </c>
      <c r="C143" s="2" t="s">
        <v>252</v>
      </c>
      <c r="D143" s="32"/>
      <c r="E143" s="35" t="s">
        <v>1753</v>
      </c>
    </row>
    <row r="144" spans="1:5" x14ac:dyDescent="0.2">
      <c r="A144" s="34" t="str">
        <f>HYPERLINK("http://www.daganm.co.il/sku/FTP-0010/2.5","FTP-0010/2.5")</f>
        <v>FTP-0010/2.5</v>
      </c>
      <c r="B144" t="s">
        <v>6</v>
      </c>
      <c r="C144" s="2" t="s">
        <v>253</v>
      </c>
      <c r="D144" s="32"/>
      <c r="E144" s="35" t="s">
        <v>1754</v>
      </c>
    </row>
    <row r="145" spans="1:5" x14ac:dyDescent="0.2">
      <c r="A145" s="34" t="str">
        <f>HYPERLINK("http://www.daganm.co.il/sku/FTP-0010/3","FTP-0010/3")</f>
        <v>FTP-0010/3</v>
      </c>
      <c r="B145" t="s">
        <v>6</v>
      </c>
      <c r="C145" s="2" t="s">
        <v>254</v>
      </c>
      <c r="D145" s="32"/>
      <c r="E145" s="35" t="s">
        <v>1755</v>
      </c>
    </row>
    <row r="146" spans="1:5" x14ac:dyDescent="0.2">
      <c r="A146" s="34" t="str">
        <f>HYPERLINK("http://www.daganm.co.il/sku/FTP-0010/5","FTP-0010/5")</f>
        <v>FTP-0010/5</v>
      </c>
      <c r="B146" t="s">
        <v>6</v>
      </c>
      <c r="C146" s="2" t="s">
        <v>255</v>
      </c>
      <c r="D146" s="32"/>
      <c r="E146" s="35" t="s">
        <v>1756</v>
      </c>
    </row>
    <row r="147" spans="1:5" x14ac:dyDescent="0.2">
      <c r="A147" s="34" t="str">
        <f>HYPERLINK("http://www.daganm.co.il/sku/FTP-0010/7.5","FTP-0010/7.5")</f>
        <v>FTP-0010/7.5</v>
      </c>
      <c r="B147" t="s">
        <v>6</v>
      </c>
      <c r="C147" s="2" t="s">
        <v>256</v>
      </c>
      <c r="D147" s="32">
        <v>45448</v>
      </c>
      <c r="E147" s="35" t="s">
        <v>1757</v>
      </c>
    </row>
    <row r="148" spans="1:5" x14ac:dyDescent="0.2">
      <c r="A148" s="34" t="str">
        <f>HYPERLINK("http://www.daganm.co.il/sku/FTP-0010/10","FTP-0010/10")</f>
        <v>FTP-0010/10</v>
      </c>
      <c r="B148" t="s">
        <v>6</v>
      </c>
      <c r="C148" s="2" t="s">
        <v>257</v>
      </c>
      <c r="D148" s="32"/>
      <c r="E148" s="35" t="s">
        <v>1758</v>
      </c>
    </row>
    <row r="149" spans="1:5" x14ac:dyDescent="0.2">
      <c r="A149" s="34" t="str">
        <f>HYPERLINK("http://www.daganm.co.il/sku/FTP-0010/15","FTP-0010/15")</f>
        <v>FTP-0010/15</v>
      </c>
      <c r="B149" t="s">
        <v>6</v>
      </c>
      <c r="C149" s="2" t="s">
        <v>258</v>
      </c>
      <c r="D149" s="32"/>
      <c r="E149" s="35" t="s">
        <v>1759</v>
      </c>
    </row>
    <row r="150" spans="1:5" x14ac:dyDescent="0.2">
      <c r="A150" s="34" t="str">
        <f>HYPERLINK("http://www.daganm.co.il/sku/FTP-0010/20","FTP-0010/20")</f>
        <v>FTP-0010/20</v>
      </c>
      <c r="B150" t="s">
        <v>6</v>
      </c>
      <c r="C150" s="2" t="s">
        <v>259</v>
      </c>
      <c r="D150" s="32"/>
      <c r="E150" s="35" t="s">
        <v>1760</v>
      </c>
    </row>
    <row r="151" spans="1:5" x14ac:dyDescent="0.2">
      <c r="A151" s="34" t="str">
        <f>HYPERLINK("http://www.daganm.co.il/sku/FTP-0010/25","FTP-0010/25")</f>
        <v>FTP-0010/25</v>
      </c>
      <c r="B151" t="s">
        <v>6</v>
      </c>
      <c r="C151" s="2" t="s">
        <v>260</v>
      </c>
      <c r="D151" s="32"/>
      <c r="E151" s="35" t="s">
        <v>1761</v>
      </c>
    </row>
    <row r="152" spans="1:5" x14ac:dyDescent="0.2">
      <c r="A152" s="34" t="str">
        <f>HYPERLINK("http://www.daganm.co.il/sku/FTP-0010/30","FTP-0010/30")</f>
        <v>FTP-0010/30</v>
      </c>
      <c r="B152" t="s">
        <v>6</v>
      </c>
      <c r="C152" s="2" t="s">
        <v>261</v>
      </c>
      <c r="D152" s="32"/>
      <c r="E152" s="35" t="s">
        <v>1762</v>
      </c>
    </row>
    <row r="153" spans="1:5" x14ac:dyDescent="0.2">
      <c r="A153" s="34" t="str">
        <f>HYPERLINK("http://www.daganm.co.il/sku/FTP-0010/40","FTP-0010/40")</f>
        <v>FTP-0010/40</v>
      </c>
      <c r="B153" t="s">
        <v>6</v>
      </c>
      <c r="C153" s="2" t="s">
        <v>262</v>
      </c>
      <c r="D153" s="32"/>
      <c r="E153" s="35" t="s">
        <v>1763</v>
      </c>
    </row>
    <row r="154" spans="1:5" x14ac:dyDescent="0.2">
      <c r="A154" s="34" t="str">
        <f>HYPERLINK("http://www.daganm.co.il/sku/FTP-0010/50","FTP-0010/50")</f>
        <v>FTP-0010/50</v>
      </c>
      <c r="B154" t="s">
        <v>6</v>
      </c>
      <c r="C154" s="2" t="s">
        <v>263</v>
      </c>
      <c r="D154" s="32"/>
      <c r="E154" s="35" t="s">
        <v>1764</v>
      </c>
    </row>
    <row r="155" spans="1:5" x14ac:dyDescent="0.2">
      <c r="A155" s="34" t="str">
        <f>HYPERLINK("http://www.daganm.co.il/sku/F0010/0.15","F0010/0.15-BLK")</f>
        <v>F0010/0.15-BLK</v>
      </c>
      <c r="B155" t="s">
        <v>6</v>
      </c>
      <c r="C155" s="2" t="s">
        <v>264</v>
      </c>
      <c r="D155" s="32"/>
      <c r="E155" s="35" t="s">
        <v>1765</v>
      </c>
    </row>
    <row r="156" spans="1:5" x14ac:dyDescent="0.2">
      <c r="A156" s="34" t="str">
        <f>HYPERLINK("http://www.daganm.co.il/sku/F0010/0.15","F0010/0.15-BLU")</f>
        <v>F0010/0.15-BLU</v>
      </c>
      <c r="B156" t="s">
        <v>6</v>
      </c>
      <c r="C156" s="2" t="s">
        <v>265</v>
      </c>
      <c r="D156" s="32"/>
      <c r="E156" s="35" t="s">
        <v>1766</v>
      </c>
    </row>
    <row r="157" spans="1:5" x14ac:dyDescent="0.2">
      <c r="A157" s="34" t="str">
        <f>HYPERLINK("http://www.daganm.co.il/sku/F0010/0.15","F0010/0.15-GR")</f>
        <v>F0010/0.15-GR</v>
      </c>
      <c r="B157" t="s">
        <v>6</v>
      </c>
      <c r="C157" s="2" t="s">
        <v>266</v>
      </c>
      <c r="D157" s="32"/>
      <c r="E157" s="35" t="s">
        <v>1767</v>
      </c>
    </row>
    <row r="158" spans="1:5" x14ac:dyDescent="0.2">
      <c r="A158" s="34" t="str">
        <f>HYPERLINK("http://www.daganm.co.il/sku/F0010/0.15","F0010/0.15-PU")</f>
        <v>F0010/0.15-PU</v>
      </c>
      <c r="B158" t="s">
        <v>6</v>
      </c>
      <c r="C158" s="2" t="s">
        <v>267</v>
      </c>
      <c r="D158" s="32"/>
      <c r="E158" s="35" t="s">
        <v>1768</v>
      </c>
    </row>
    <row r="159" spans="1:5" x14ac:dyDescent="0.2">
      <c r="A159" s="34" t="str">
        <f>HYPERLINK("http://www.daganm.co.il/sku/F0010/0.15","F0010/0.15-RE")</f>
        <v>F0010/0.15-RE</v>
      </c>
      <c r="B159" t="s">
        <v>6</v>
      </c>
      <c r="C159" s="2" t="s">
        <v>268</v>
      </c>
      <c r="D159" s="32"/>
      <c r="E159" s="35" t="s">
        <v>1769</v>
      </c>
    </row>
    <row r="160" spans="1:5" x14ac:dyDescent="0.2">
      <c r="A160" s="34" t="str">
        <f>HYPERLINK("http://www.daganm.co.il/sku/F0010/0.15","F0010/0.15-WH")</f>
        <v>F0010/0.15-WH</v>
      </c>
      <c r="B160" t="s">
        <v>6</v>
      </c>
      <c r="C160" s="2" t="s">
        <v>269</v>
      </c>
      <c r="D160" s="32"/>
      <c r="E160" s="35" t="s">
        <v>1770</v>
      </c>
    </row>
    <row r="161" spans="1:5" x14ac:dyDescent="0.2">
      <c r="A161" s="34" t="str">
        <f>HYPERLINK("http://www.daganm.co.il/sku/F0010/0.15","F0010/0.15-YE")</f>
        <v>F0010/0.15-YE</v>
      </c>
      <c r="B161" t="s">
        <v>6</v>
      </c>
      <c r="C161" s="2" t="s">
        <v>270</v>
      </c>
      <c r="D161" s="32"/>
      <c r="E161" s="35" t="s">
        <v>1771</v>
      </c>
    </row>
    <row r="162" spans="1:5" x14ac:dyDescent="0.2">
      <c r="A162" s="34" t="str">
        <f>HYPERLINK("http://www.daganm.co.il/sku/F0010/0.15","F0010/0.15-OR")</f>
        <v>F0010/0.15-OR</v>
      </c>
      <c r="B162" t="s">
        <v>6</v>
      </c>
      <c r="C162" s="2" t="s">
        <v>271</v>
      </c>
      <c r="D162" s="32"/>
      <c r="E162" s="35" t="s">
        <v>1772</v>
      </c>
    </row>
    <row r="163" spans="1:5" x14ac:dyDescent="0.2">
      <c r="A163" s="34" t="str">
        <f>HYPERLINK("http://www.daganm.co.il/sku/F0010/0.25","F0010/0.25-BLK")</f>
        <v>F0010/0.25-BLK</v>
      </c>
      <c r="B163" t="s">
        <v>6</v>
      </c>
      <c r="C163" s="2" t="s">
        <v>272</v>
      </c>
      <c r="D163" s="32"/>
      <c r="E163" s="35" t="s">
        <v>1773</v>
      </c>
    </row>
    <row r="164" spans="1:5" x14ac:dyDescent="0.2">
      <c r="A164" s="34" t="str">
        <f>HYPERLINK("http://www.daganm.co.il/sku/F0010/0.25","F0010/0.25-BLU")</f>
        <v>F0010/0.25-BLU</v>
      </c>
      <c r="B164" t="s">
        <v>6</v>
      </c>
      <c r="C164" s="2" t="s">
        <v>273</v>
      </c>
      <c r="D164" s="32"/>
      <c r="E164" s="35" t="s">
        <v>1774</v>
      </c>
    </row>
    <row r="165" spans="1:5" x14ac:dyDescent="0.2">
      <c r="A165" s="34" t="str">
        <f>HYPERLINK("http://www.daganm.co.il/sku/F0010/0.25","F0010/0.25-GR")</f>
        <v>F0010/0.25-GR</v>
      </c>
      <c r="B165" t="s">
        <v>6</v>
      </c>
      <c r="C165" s="2" t="s">
        <v>274</v>
      </c>
      <c r="D165" s="32"/>
      <c r="E165" s="35" t="s">
        <v>1775</v>
      </c>
    </row>
    <row r="166" spans="1:5" x14ac:dyDescent="0.2">
      <c r="A166" s="34" t="str">
        <f>HYPERLINK("http://www.daganm.co.il/sku/F0010/0.25","F0010/0.25-PU")</f>
        <v>F0010/0.25-PU</v>
      </c>
      <c r="B166" t="s">
        <v>6</v>
      </c>
      <c r="C166" s="2" t="s">
        <v>275</v>
      </c>
      <c r="D166" s="32"/>
      <c r="E166" s="35" t="s">
        <v>1776</v>
      </c>
    </row>
    <row r="167" spans="1:5" x14ac:dyDescent="0.2">
      <c r="A167" s="34" t="str">
        <f>HYPERLINK("http://www.daganm.co.il/sku/F0010/0.25","F0010/0.25-RE")</f>
        <v>F0010/0.25-RE</v>
      </c>
      <c r="B167" t="s">
        <v>6</v>
      </c>
      <c r="C167" s="2" t="s">
        <v>276</v>
      </c>
      <c r="D167" s="32"/>
      <c r="E167" s="35" t="s">
        <v>1777</v>
      </c>
    </row>
    <row r="168" spans="1:5" x14ac:dyDescent="0.2">
      <c r="A168" s="34" t="str">
        <f>HYPERLINK("http://www.daganm.co.il/sku/F0010/0.25","F0010/0.25-WH")</f>
        <v>F0010/0.25-WH</v>
      </c>
      <c r="B168" t="s">
        <v>6</v>
      </c>
      <c r="C168" s="2" t="s">
        <v>277</v>
      </c>
      <c r="D168" s="32"/>
      <c r="E168" s="35" t="s">
        <v>1778</v>
      </c>
    </row>
    <row r="169" spans="1:5" x14ac:dyDescent="0.2">
      <c r="A169" s="34" t="str">
        <f>HYPERLINK("http://www.daganm.co.il/sku/F0010/0.25","F0010/0.25-YE")</f>
        <v>F0010/0.25-YE</v>
      </c>
      <c r="B169" t="s">
        <v>6</v>
      </c>
      <c r="C169" s="2" t="s">
        <v>278</v>
      </c>
      <c r="D169" s="32"/>
      <c r="E169" s="35" t="s">
        <v>1779</v>
      </c>
    </row>
    <row r="170" spans="1:5" x14ac:dyDescent="0.2">
      <c r="A170" s="34" t="str">
        <f>HYPERLINK("http://www.daganm.co.il/sku/F0010/0.25","F0010/0.25-OR")</f>
        <v>F0010/0.25-OR</v>
      </c>
      <c r="B170" t="s">
        <v>6</v>
      </c>
      <c r="C170" s="2" t="s">
        <v>279</v>
      </c>
      <c r="D170" s="32"/>
      <c r="E170" s="35" t="s">
        <v>1780</v>
      </c>
    </row>
    <row r="171" spans="1:5" x14ac:dyDescent="0.2">
      <c r="A171" s="34" t="str">
        <f>HYPERLINK("http://www.daganm.co.il/sku/F0010/0.5","F0010/0.5-BLK")</f>
        <v>F0010/0.5-BLK</v>
      </c>
      <c r="B171" t="s">
        <v>6</v>
      </c>
      <c r="C171" s="2" t="s">
        <v>280</v>
      </c>
      <c r="D171" s="32"/>
      <c r="E171" s="35" t="s">
        <v>1781</v>
      </c>
    </row>
    <row r="172" spans="1:5" x14ac:dyDescent="0.2">
      <c r="A172" s="34" t="str">
        <f>HYPERLINK("http://www.daganm.co.il/sku/F0010/0.5","F0010/0.5-BLU")</f>
        <v>F0010/0.5-BLU</v>
      </c>
      <c r="B172" t="s">
        <v>6</v>
      </c>
      <c r="C172" s="2" t="s">
        <v>281</v>
      </c>
      <c r="D172" s="32"/>
      <c r="E172" s="35" t="s">
        <v>1782</v>
      </c>
    </row>
    <row r="173" spans="1:5" x14ac:dyDescent="0.2">
      <c r="A173" s="34" t="str">
        <f>HYPERLINK("http://www.daganm.co.il/sku/F0010/0.5","F0010/0.5-GR")</f>
        <v>F0010/0.5-GR</v>
      </c>
      <c r="B173" t="s">
        <v>6</v>
      </c>
      <c r="C173" s="2" t="s">
        <v>282</v>
      </c>
      <c r="D173" s="32"/>
      <c r="E173" s="35" t="s">
        <v>1783</v>
      </c>
    </row>
    <row r="174" spans="1:5" x14ac:dyDescent="0.2">
      <c r="A174" s="34" t="str">
        <f>HYPERLINK("http://www.daganm.co.il/sku/F0010/0.5","F0010/0.5-PU")</f>
        <v>F0010/0.5-PU</v>
      </c>
      <c r="B174" t="s">
        <v>6</v>
      </c>
      <c r="C174" s="2" t="s">
        <v>283</v>
      </c>
      <c r="D174" s="32"/>
      <c r="E174" s="35" t="s">
        <v>1784</v>
      </c>
    </row>
    <row r="175" spans="1:5" x14ac:dyDescent="0.2">
      <c r="A175" s="34" t="str">
        <f>HYPERLINK("http://www.daganm.co.il/sku/F0010/0.5","F0010/0.5-RE")</f>
        <v>F0010/0.5-RE</v>
      </c>
      <c r="B175" t="s">
        <v>6</v>
      </c>
      <c r="C175" s="2" t="s">
        <v>284</v>
      </c>
      <c r="D175" s="32"/>
      <c r="E175" s="35" t="s">
        <v>1785</v>
      </c>
    </row>
    <row r="176" spans="1:5" x14ac:dyDescent="0.2">
      <c r="A176" s="34" t="str">
        <f>HYPERLINK("http://www.daganm.co.il/sku/F0010/0.5","F0010/0.5-WH")</f>
        <v>F0010/0.5-WH</v>
      </c>
      <c r="B176" t="s">
        <v>6</v>
      </c>
      <c r="C176" s="2" t="s">
        <v>285</v>
      </c>
      <c r="D176" s="32"/>
      <c r="E176" s="35" t="s">
        <v>1786</v>
      </c>
    </row>
    <row r="177" spans="1:5" x14ac:dyDescent="0.2">
      <c r="A177" s="34" t="str">
        <f>HYPERLINK("http://www.daganm.co.il/sku/F0010/0.5","F0010/0.5-YE")</f>
        <v>F0010/0.5-YE</v>
      </c>
      <c r="B177" t="s">
        <v>6</v>
      </c>
      <c r="C177" s="2" t="s">
        <v>286</v>
      </c>
      <c r="D177" s="32"/>
      <c r="E177" s="35" t="s">
        <v>1787</v>
      </c>
    </row>
    <row r="178" spans="1:5" x14ac:dyDescent="0.2">
      <c r="A178" s="34" t="str">
        <f>HYPERLINK("http://www.daganm.co.il/sku/F0010/0.5","F0010/0.5-OR")</f>
        <v>F0010/0.5-OR</v>
      </c>
      <c r="B178" t="s">
        <v>6</v>
      </c>
      <c r="C178" s="2" t="s">
        <v>287</v>
      </c>
      <c r="D178" s="32"/>
      <c r="E178" s="35" t="s">
        <v>1788</v>
      </c>
    </row>
    <row r="179" spans="1:5" x14ac:dyDescent="0.2">
      <c r="A179" s="34" t="str">
        <f>HYPERLINK("http://www.daganm.co.il/sku/F0010/1","F0010/1-BLK")</f>
        <v>F0010/1-BLK</v>
      </c>
      <c r="B179" t="s">
        <v>6</v>
      </c>
      <c r="C179" s="2" t="s">
        <v>288</v>
      </c>
      <c r="D179" s="32"/>
      <c r="E179" s="35" t="s">
        <v>1789</v>
      </c>
    </row>
    <row r="180" spans="1:5" x14ac:dyDescent="0.2">
      <c r="A180" s="34" t="str">
        <f>HYPERLINK("http://www.daganm.co.il/sku/F0010/1","F0010/1-BLU")</f>
        <v>F0010/1-BLU</v>
      </c>
      <c r="B180" t="s">
        <v>6</v>
      </c>
      <c r="C180" s="2" t="s">
        <v>289</v>
      </c>
      <c r="D180" s="32"/>
      <c r="E180" s="35" t="s">
        <v>1790</v>
      </c>
    </row>
    <row r="181" spans="1:5" x14ac:dyDescent="0.2">
      <c r="A181" s="34" t="str">
        <f>HYPERLINK("http://www.daganm.co.il/sku/F0010/1","F0010/1-GR")</f>
        <v>F0010/1-GR</v>
      </c>
      <c r="B181" t="s">
        <v>6</v>
      </c>
      <c r="C181" s="2" t="s">
        <v>290</v>
      </c>
      <c r="D181" s="32"/>
      <c r="E181" s="35" t="s">
        <v>1791</v>
      </c>
    </row>
    <row r="182" spans="1:5" x14ac:dyDescent="0.2">
      <c r="A182" s="34" t="str">
        <f>HYPERLINK("http://www.daganm.co.il/sku/F0010/1","F0010/1-PU")</f>
        <v>F0010/1-PU</v>
      </c>
      <c r="B182" t="s">
        <v>6</v>
      </c>
      <c r="C182" s="2" t="s">
        <v>291</v>
      </c>
      <c r="D182" s="32"/>
      <c r="E182" s="35" t="s">
        <v>1792</v>
      </c>
    </row>
    <row r="183" spans="1:5" x14ac:dyDescent="0.2">
      <c r="A183" s="34" t="str">
        <f>HYPERLINK("http://www.daganm.co.il/sku/F0010/1","F0010/1-RE")</f>
        <v>F0010/1-RE</v>
      </c>
      <c r="B183" t="s">
        <v>6</v>
      </c>
      <c r="C183" s="2" t="s">
        <v>292</v>
      </c>
      <c r="D183" s="32"/>
      <c r="E183" s="35" t="s">
        <v>1793</v>
      </c>
    </row>
    <row r="184" spans="1:5" x14ac:dyDescent="0.2">
      <c r="A184" s="34" t="str">
        <f>HYPERLINK("http://www.daganm.co.il/sku/F0010/1","F0010/1-WH")</f>
        <v>F0010/1-WH</v>
      </c>
      <c r="B184" t="s">
        <v>6</v>
      </c>
      <c r="C184" s="2" t="s">
        <v>293</v>
      </c>
      <c r="D184" s="32"/>
      <c r="E184" s="35" t="s">
        <v>1794</v>
      </c>
    </row>
    <row r="185" spans="1:5" x14ac:dyDescent="0.2">
      <c r="A185" s="34" t="str">
        <f>HYPERLINK("http://www.daganm.co.il/sku/F0010/1","F0010/1-YE")</f>
        <v>F0010/1-YE</v>
      </c>
      <c r="B185" t="s">
        <v>6</v>
      </c>
      <c r="C185" s="2" t="s">
        <v>294</v>
      </c>
      <c r="D185" s="32"/>
      <c r="E185" s="35" t="s">
        <v>1795</v>
      </c>
    </row>
    <row r="186" spans="1:5" x14ac:dyDescent="0.2">
      <c r="A186" s="34" t="str">
        <f>HYPERLINK("http://www.daganm.co.il/sku/F0010/1","F0010/1-OR")</f>
        <v>F0010/1-OR</v>
      </c>
      <c r="B186" t="s">
        <v>6</v>
      </c>
      <c r="C186" s="2" t="s">
        <v>295</v>
      </c>
      <c r="D186" s="32"/>
      <c r="E186" s="35" t="s">
        <v>1796</v>
      </c>
    </row>
    <row r="187" spans="1:5" x14ac:dyDescent="0.2">
      <c r="A187" s="34" t="str">
        <f>HYPERLINK("http://www.daganm.co.il/sku/F0010/1.5","F0010/1.5-BLK")</f>
        <v>F0010/1.5-BLK</v>
      </c>
      <c r="B187" t="s">
        <v>6</v>
      </c>
      <c r="C187" s="2" t="s">
        <v>296</v>
      </c>
      <c r="D187" s="36"/>
      <c r="E187" s="35" t="s">
        <v>1797</v>
      </c>
    </row>
    <row r="188" spans="1:5" x14ac:dyDescent="0.2">
      <c r="A188" s="34" t="str">
        <f>HYPERLINK("http://www.daganm.co.il/sku/F0010/1.5","F0010/1.5-BLU")</f>
        <v>F0010/1.5-BLU</v>
      </c>
      <c r="B188" t="s">
        <v>6</v>
      </c>
      <c r="C188" s="2" t="s">
        <v>297</v>
      </c>
      <c r="D188" s="32"/>
      <c r="E188" s="35" t="s">
        <v>1798</v>
      </c>
    </row>
    <row r="189" spans="1:5" x14ac:dyDescent="0.2">
      <c r="A189" s="34" t="str">
        <f>HYPERLINK("http://www.daganm.co.il/sku/F0010/1.5","F0010/1.5-GR")</f>
        <v>F0010/1.5-GR</v>
      </c>
      <c r="B189" t="s">
        <v>6</v>
      </c>
      <c r="C189" s="2" t="s">
        <v>298</v>
      </c>
      <c r="D189" s="36"/>
      <c r="E189" s="35" t="s">
        <v>1799</v>
      </c>
    </row>
    <row r="190" spans="1:5" x14ac:dyDescent="0.2">
      <c r="A190" s="34" t="str">
        <f>HYPERLINK("http://www.daganm.co.il/sku/F0010/1.5","F0010/1.5-PU")</f>
        <v>F0010/1.5-PU</v>
      </c>
      <c r="B190" t="s">
        <v>6</v>
      </c>
      <c r="C190" s="2" t="s">
        <v>299</v>
      </c>
      <c r="D190" s="32"/>
      <c r="E190" s="35" t="s">
        <v>1800</v>
      </c>
    </row>
    <row r="191" spans="1:5" x14ac:dyDescent="0.2">
      <c r="A191" s="34" t="str">
        <f>HYPERLINK("http://www.daganm.co.il/sku/F0010/1.5","F0010/1.5-RE")</f>
        <v>F0010/1.5-RE</v>
      </c>
      <c r="B191" t="s">
        <v>6</v>
      </c>
      <c r="C191" s="2" t="s">
        <v>300</v>
      </c>
      <c r="D191" s="32"/>
      <c r="E191" s="35" t="s">
        <v>1801</v>
      </c>
    </row>
    <row r="192" spans="1:5" x14ac:dyDescent="0.2">
      <c r="A192" s="34" t="str">
        <f>HYPERLINK("http://www.daganm.co.il/sku/F0010/1.5","F0010/1.5-WH")</f>
        <v>F0010/1.5-WH</v>
      </c>
      <c r="B192" t="s">
        <v>6</v>
      </c>
      <c r="C192" s="2" t="s">
        <v>301</v>
      </c>
      <c r="D192" s="32"/>
      <c r="E192" s="35" t="s">
        <v>1802</v>
      </c>
    </row>
    <row r="193" spans="1:5" x14ac:dyDescent="0.2">
      <c r="A193" s="34" t="str">
        <f>HYPERLINK("http://www.daganm.co.il/sku/F0010/1.5","F0010/1.5-YE")</f>
        <v>F0010/1.5-YE</v>
      </c>
      <c r="B193" t="s">
        <v>6</v>
      </c>
      <c r="C193" s="2" t="s">
        <v>302</v>
      </c>
      <c r="D193" s="32"/>
      <c r="E193" s="35" t="s">
        <v>1803</v>
      </c>
    </row>
    <row r="194" spans="1:5" x14ac:dyDescent="0.2">
      <c r="A194" s="34" t="str">
        <f>HYPERLINK("http://www.daganm.co.il/sku/F0010/1.5","F0010/1.5-OR")</f>
        <v>F0010/1.5-OR</v>
      </c>
      <c r="B194" t="s">
        <v>6</v>
      </c>
      <c r="C194" s="2" t="s">
        <v>303</v>
      </c>
      <c r="D194" s="32"/>
      <c r="E194" s="35" t="s">
        <v>1804</v>
      </c>
    </row>
    <row r="195" spans="1:5" x14ac:dyDescent="0.2">
      <c r="A195" s="34" t="str">
        <f>HYPERLINK("http://www.daganm.co.il/sku/F0010/2","F0010/2-BLK")</f>
        <v>F0010/2-BLK</v>
      </c>
      <c r="B195" t="s">
        <v>6</v>
      </c>
      <c r="C195" s="2" t="s">
        <v>304</v>
      </c>
      <c r="D195" s="32"/>
      <c r="E195" s="35" t="s">
        <v>1805</v>
      </c>
    </row>
    <row r="196" spans="1:5" x14ac:dyDescent="0.2">
      <c r="A196" s="34" t="str">
        <f>HYPERLINK("http://www.daganm.co.il/sku/F0010/2","F0010/2-BLU")</f>
        <v>F0010/2-BLU</v>
      </c>
      <c r="B196" t="s">
        <v>6</v>
      </c>
      <c r="C196" s="2" t="s">
        <v>305</v>
      </c>
      <c r="D196" s="32"/>
      <c r="E196" s="35" t="s">
        <v>1806</v>
      </c>
    </row>
    <row r="197" spans="1:5" x14ac:dyDescent="0.2">
      <c r="A197" s="34" t="str">
        <f>HYPERLINK("http://www.daganm.co.il/sku/F0010/2","F0010/2-GR")</f>
        <v>F0010/2-GR</v>
      </c>
      <c r="B197" t="s">
        <v>6</v>
      </c>
      <c r="C197" s="2" t="s">
        <v>306</v>
      </c>
      <c r="D197" s="32"/>
      <c r="E197" s="35" t="s">
        <v>1807</v>
      </c>
    </row>
    <row r="198" spans="1:5" x14ac:dyDescent="0.2">
      <c r="A198" s="34" t="str">
        <f>HYPERLINK("http://www.daganm.co.il/sku/F0010/2","F0010/2-PU")</f>
        <v>F0010/2-PU</v>
      </c>
      <c r="B198" t="s">
        <v>6</v>
      </c>
      <c r="C198" s="2" t="s">
        <v>307</v>
      </c>
      <c r="D198" s="32"/>
      <c r="E198" s="35" t="s">
        <v>1808</v>
      </c>
    </row>
    <row r="199" spans="1:5" x14ac:dyDescent="0.2">
      <c r="A199" s="34" t="str">
        <f>HYPERLINK("http://www.daganm.co.il/sku/F0010/2","F0010/2-RE")</f>
        <v>F0010/2-RE</v>
      </c>
      <c r="B199" t="s">
        <v>6</v>
      </c>
      <c r="C199" s="2" t="s">
        <v>308</v>
      </c>
      <c r="D199" s="32"/>
      <c r="E199" s="35" t="s">
        <v>1809</v>
      </c>
    </row>
    <row r="200" spans="1:5" x14ac:dyDescent="0.2">
      <c r="A200" s="34" t="str">
        <f>HYPERLINK("http://www.daganm.co.il/sku/F0010/2","F0010/2-WH")</f>
        <v>F0010/2-WH</v>
      </c>
      <c r="B200" t="s">
        <v>6</v>
      </c>
      <c r="C200" s="2" t="s">
        <v>309</v>
      </c>
      <c r="D200" s="32"/>
      <c r="E200" s="35" t="s">
        <v>1810</v>
      </c>
    </row>
    <row r="201" spans="1:5" x14ac:dyDescent="0.2">
      <c r="A201" s="34" t="str">
        <f>HYPERLINK("http://www.daganm.co.il/sku/F0010/2","F0010/2-YE")</f>
        <v>F0010/2-YE</v>
      </c>
      <c r="B201" t="s">
        <v>6</v>
      </c>
      <c r="C201" s="2" t="s">
        <v>310</v>
      </c>
      <c r="D201" s="32"/>
      <c r="E201" s="35" t="s">
        <v>1811</v>
      </c>
    </row>
    <row r="202" spans="1:5" x14ac:dyDescent="0.2">
      <c r="A202" s="34" t="str">
        <f>HYPERLINK("http://www.daganm.co.il/sku/F0010/2","F0010/2-OR")</f>
        <v>F0010/2-OR</v>
      </c>
      <c r="B202" t="s">
        <v>6</v>
      </c>
      <c r="C202" s="2" t="s">
        <v>311</v>
      </c>
      <c r="D202" s="32"/>
      <c r="E202" s="35" t="s">
        <v>1812</v>
      </c>
    </row>
    <row r="203" spans="1:5" x14ac:dyDescent="0.2">
      <c r="A203" s="34" t="str">
        <f>HYPERLINK("http://www.daganm.co.il/sku/F0010/3","F0010/3-BLK")</f>
        <v>F0010/3-BLK</v>
      </c>
      <c r="B203" t="s">
        <v>6</v>
      </c>
      <c r="C203" s="2" t="s">
        <v>312</v>
      </c>
      <c r="D203" s="32"/>
      <c r="E203" s="35" t="s">
        <v>1813</v>
      </c>
    </row>
    <row r="204" spans="1:5" x14ac:dyDescent="0.2">
      <c r="A204" s="34" t="str">
        <f>HYPERLINK("http://www.daganm.co.il/sku/F0010/3","F0010/3-BLU")</f>
        <v>F0010/3-BLU</v>
      </c>
      <c r="B204" t="s">
        <v>6</v>
      </c>
      <c r="C204" s="2" t="s">
        <v>313</v>
      </c>
      <c r="D204" s="32"/>
      <c r="E204" s="35" t="s">
        <v>1814</v>
      </c>
    </row>
    <row r="205" spans="1:5" x14ac:dyDescent="0.2">
      <c r="A205" s="34" t="str">
        <f>HYPERLINK("http://www.daganm.co.il/sku/F0010/3","F0010/3-GR")</f>
        <v>F0010/3-GR</v>
      </c>
      <c r="B205" t="s">
        <v>6</v>
      </c>
      <c r="C205" s="2" t="s">
        <v>314</v>
      </c>
      <c r="D205" s="32"/>
      <c r="E205" s="35" t="s">
        <v>1815</v>
      </c>
    </row>
    <row r="206" spans="1:5" x14ac:dyDescent="0.2">
      <c r="A206" s="34" t="str">
        <f>HYPERLINK("http://www.daganm.co.il/sku/F0010/3","F0010/3-PU")</f>
        <v>F0010/3-PU</v>
      </c>
      <c r="B206" t="s">
        <v>6</v>
      </c>
      <c r="C206" s="2" t="s">
        <v>315</v>
      </c>
      <c r="D206" s="32"/>
      <c r="E206" s="35" t="s">
        <v>1816</v>
      </c>
    </row>
    <row r="207" spans="1:5" x14ac:dyDescent="0.2">
      <c r="A207" s="34" t="str">
        <f>HYPERLINK("http://www.daganm.co.il/sku/F0010/3","F0010/3-RE")</f>
        <v>F0010/3-RE</v>
      </c>
      <c r="B207" t="s">
        <v>6</v>
      </c>
      <c r="C207" s="2" t="s">
        <v>316</v>
      </c>
      <c r="D207" s="32"/>
      <c r="E207" s="35" t="s">
        <v>1817</v>
      </c>
    </row>
    <row r="208" spans="1:5" x14ac:dyDescent="0.2">
      <c r="A208" s="34" t="str">
        <f>HYPERLINK("http://www.daganm.co.il/sku/F0010/3","F0010/3-WH")</f>
        <v>F0010/3-WH</v>
      </c>
      <c r="B208" t="s">
        <v>6</v>
      </c>
      <c r="C208" s="2" t="s">
        <v>317</v>
      </c>
      <c r="D208" s="32"/>
      <c r="E208" s="35" t="s">
        <v>1818</v>
      </c>
    </row>
    <row r="209" spans="1:5" x14ac:dyDescent="0.2">
      <c r="A209" s="34" t="str">
        <f>HYPERLINK("http://www.daganm.co.il/sku/F0010/3","F0010/3-YE")</f>
        <v>F0010/3-YE</v>
      </c>
      <c r="B209" t="s">
        <v>6</v>
      </c>
      <c r="C209" s="2" t="s">
        <v>318</v>
      </c>
      <c r="D209" s="32"/>
      <c r="E209" s="35" t="s">
        <v>1819</v>
      </c>
    </row>
    <row r="210" spans="1:5" x14ac:dyDescent="0.2">
      <c r="A210" s="34" t="str">
        <f>HYPERLINK("http://www.daganm.co.il/sku/F0010/3","F0010/3-OR")</f>
        <v>F0010/3-OR</v>
      </c>
      <c r="B210" t="s">
        <v>6</v>
      </c>
      <c r="C210" s="2" t="s">
        <v>319</v>
      </c>
      <c r="D210" s="32"/>
      <c r="E210" s="35" t="s">
        <v>1820</v>
      </c>
    </row>
    <row r="211" spans="1:5" x14ac:dyDescent="0.2">
      <c r="A211" s="34" t="str">
        <f>HYPERLINK("http://www.daganm.co.il/sku/F0010/5","F0010/5-BLK")</f>
        <v>F0010/5-BLK</v>
      </c>
      <c r="B211" t="s">
        <v>6</v>
      </c>
      <c r="C211" s="2" t="s">
        <v>320</v>
      </c>
      <c r="D211" s="32"/>
      <c r="E211" s="35" t="s">
        <v>1821</v>
      </c>
    </row>
    <row r="212" spans="1:5" x14ac:dyDescent="0.2">
      <c r="A212" s="34" t="str">
        <f>HYPERLINK("http://www.daganm.co.il/sku/F0010/5","F0010/5-BLU")</f>
        <v>F0010/5-BLU</v>
      </c>
      <c r="B212" t="s">
        <v>6</v>
      </c>
      <c r="C212" s="2" t="s">
        <v>321</v>
      </c>
      <c r="D212" s="36"/>
      <c r="E212" s="35" t="s">
        <v>1822</v>
      </c>
    </row>
    <row r="213" spans="1:5" x14ac:dyDescent="0.2">
      <c r="A213" s="34" t="str">
        <f>HYPERLINK("http://www.daganm.co.il/sku/F0010/5","F0010/5-GR")</f>
        <v>F0010/5-GR</v>
      </c>
      <c r="B213" t="s">
        <v>6</v>
      </c>
      <c r="C213" s="2" t="s">
        <v>322</v>
      </c>
      <c r="D213" s="32"/>
      <c r="E213" s="35" t="s">
        <v>1823</v>
      </c>
    </row>
    <row r="214" spans="1:5" x14ac:dyDescent="0.2">
      <c r="A214" s="34" t="str">
        <f>HYPERLINK("http://www.daganm.co.il/sku/F0010/5","F0010/5-PU")</f>
        <v>F0010/5-PU</v>
      </c>
      <c r="B214" t="s">
        <v>6</v>
      </c>
      <c r="C214" s="2" t="s">
        <v>323</v>
      </c>
      <c r="D214" s="32"/>
      <c r="E214" s="35" t="s">
        <v>1824</v>
      </c>
    </row>
    <row r="215" spans="1:5" x14ac:dyDescent="0.2">
      <c r="A215" s="34" t="str">
        <f>HYPERLINK("http://www.daganm.co.il/sku/F0010/5","F0010/5-RE")</f>
        <v>F0010/5-RE</v>
      </c>
      <c r="B215" t="s">
        <v>6</v>
      </c>
      <c r="C215" s="2" t="s">
        <v>324</v>
      </c>
      <c r="D215" s="32"/>
      <c r="E215" s="35" t="s">
        <v>1825</v>
      </c>
    </row>
    <row r="216" spans="1:5" x14ac:dyDescent="0.2">
      <c r="A216" s="34" t="str">
        <f>HYPERLINK("http://www.daganm.co.il/sku/F0010/5","F0010/5-WH")</f>
        <v>F0010/5-WH</v>
      </c>
      <c r="B216" t="s">
        <v>6</v>
      </c>
      <c r="C216" s="2" t="s">
        <v>325</v>
      </c>
      <c r="D216" s="32"/>
      <c r="E216" s="35" t="s">
        <v>1826</v>
      </c>
    </row>
    <row r="217" spans="1:5" x14ac:dyDescent="0.2">
      <c r="A217" s="34" t="str">
        <f>HYPERLINK("http://www.daganm.co.il/sku/F0010/5","F0010/5-YE")</f>
        <v>F0010/5-YE</v>
      </c>
      <c r="B217" t="s">
        <v>6</v>
      </c>
      <c r="C217" s="2" t="s">
        <v>326</v>
      </c>
      <c r="D217" s="32"/>
      <c r="E217" s="35" t="s">
        <v>1827</v>
      </c>
    </row>
    <row r="218" spans="1:5" x14ac:dyDescent="0.2">
      <c r="A218" s="34" t="str">
        <f>HYPERLINK("http://www.daganm.co.il/sku/F0010/5","F0010/5-OR")</f>
        <v>F0010/5-OR</v>
      </c>
      <c r="B218" t="s">
        <v>6</v>
      </c>
      <c r="C218" s="2" t="s">
        <v>327</v>
      </c>
      <c r="D218" s="32"/>
      <c r="E218" s="35" t="s">
        <v>1828</v>
      </c>
    </row>
    <row r="219" spans="1:5" x14ac:dyDescent="0.2">
      <c r="A219" s="34" t="str">
        <f>HYPERLINK("http://www.daganm.co.il/sku/F0010/10","F0010/10-BLK")</f>
        <v>F0010/10-BLK</v>
      </c>
      <c r="B219" t="s">
        <v>6</v>
      </c>
      <c r="C219" s="2" t="s">
        <v>328</v>
      </c>
      <c r="D219" s="32"/>
      <c r="E219" s="35" t="s">
        <v>1829</v>
      </c>
    </row>
    <row r="220" spans="1:5" x14ac:dyDescent="0.2">
      <c r="A220" s="34" t="str">
        <f>HYPERLINK("http://www.daganm.co.il/sku/F0010/10","F0010/10-BLU")</f>
        <v>F0010/10-BLU</v>
      </c>
      <c r="B220" t="s">
        <v>6</v>
      </c>
      <c r="C220" s="2" t="s">
        <v>329</v>
      </c>
      <c r="D220" s="32"/>
      <c r="E220" s="35" t="s">
        <v>1830</v>
      </c>
    </row>
    <row r="221" spans="1:5" x14ac:dyDescent="0.2">
      <c r="A221" s="34" t="str">
        <f>HYPERLINK("http://www.daganm.co.il/sku/F0010/10","F0010/10-GR")</f>
        <v>F0010/10-GR</v>
      </c>
      <c r="B221" t="s">
        <v>6</v>
      </c>
      <c r="C221" s="2" t="s">
        <v>330</v>
      </c>
      <c r="D221" s="32"/>
      <c r="E221" s="32" t="s">
        <v>1831</v>
      </c>
    </row>
    <row r="222" spans="1:5" x14ac:dyDescent="0.2">
      <c r="A222" s="34" t="str">
        <f>HYPERLINK("http://www.daganm.co.il/sku/F0010/10","F0010/10-PU")</f>
        <v>F0010/10-PU</v>
      </c>
      <c r="B222" t="s">
        <v>6</v>
      </c>
      <c r="C222" s="2" t="s">
        <v>331</v>
      </c>
      <c r="D222" s="32"/>
      <c r="E222" s="35" t="s">
        <v>1832</v>
      </c>
    </row>
    <row r="223" spans="1:5" x14ac:dyDescent="0.2">
      <c r="A223" s="34" t="str">
        <f>HYPERLINK("http://www.daganm.co.il/sku/F0010/10","F0010/10-RE")</f>
        <v>F0010/10-RE</v>
      </c>
      <c r="B223" t="s">
        <v>6</v>
      </c>
      <c r="C223" s="2" t="s">
        <v>332</v>
      </c>
      <c r="D223" s="32"/>
      <c r="E223" s="35" t="s">
        <v>1833</v>
      </c>
    </row>
    <row r="224" spans="1:5" x14ac:dyDescent="0.2">
      <c r="A224" s="34" t="str">
        <f>HYPERLINK("http://www.daganm.co.il/sku/F0010/10","F0010/10-WH")</f>
        <v>F0010/10-WH</v>
      </c>
      <c r="B224" t="s">
        <v>6</v>
      </c>
      <c r="C224" s="2" t="s">
        <v>333</v>
      </c>
      <c r="D224" s="32"/>
      <c r="E224" s="35" t="s">
        <v>1834</v>
      </c>
    </row>
    <row r="225" spans="1:5" x14ac:dyDescent="0.2">
      <c r="A225" s="34" t="str">
        <f>HYPERLINK("http://www.daganm.co.il/sku/F0010/10","F0010/10-YE")</f>
        <v>F0010/10-YE</v>
      </c>
      <c r="B225" t="s">
        <v>6</v>
      </c>
      <c r="C225" s="2" t="s">
        <v>334</v>
      </c>
      <c r="D225" s="32"/>
      <c r="E225" s="35" t="s">
        <v>1835</v>
      </c>
    </row>
    <row r="226" spans="1:5" x14ac:dyDescent="0.2">
      <c r="A226" s="34" t="str">
        <f>HYPERLINK("http://www.daganm.co.il/sku/F0010/10","F0010/10-OR")</f>
        <v>F0010/10-OR</v>
      </c>
      <c r="B226" t="s">
        <v>6</v>
      </c>
      <c r="C226" s="2" t="s">
        <v>335</v>
      </c>
      <c r="D226" s="32">
        <v>45448</v>
      </c>
      <c r="E226" s="35" t="s">
        <v>1836</v>
      </c>
    </row>
    <row r="227" spans="1:5" x14ac:dyDescent="0.2">
      <c r="B227"/>
      <c r="C227" s="33" t="s">
        <v>10</v>
      </c>
      <c r="D227" s="32"/>
      <c r="E227" s="35"/>
    </row>
    <row r="228" spans="1:5" x14ac:dyDescent="0.2">
      <c r="A228" s="34" t="str">
        <f>HYPERLINK("http://www.daganm.co.il/sku/FTP-0023/0.15","FTP-0023/0.15")</f>
        <v>FTP-0023/0.15</v>
      </c>
      <c r="B228" t="s">
        <v>6</v>
      </c>
      <c r="C228" s="2" t="s">
        <v>227</v>
      </c>
      <c r="D228" s="32"/>
      <c r="E228" s="35" t="s">
        <v>1728</v>
      </c>
    </row>
    <row r="229" spans="1:5" x14ac:dyDescent="0.2">
      <c r="A229" s="34" t="str">
        <f>HYPERLINK("http://www.daganm.co.il/sku/FTP-0023/0.2","FTP-0023/0.2")</f>
        <v>FTP-0023/0.2</v>
      </c>
      <c r="B229" t="s">
        <v>6</v>
      </c>
      <c r="C229" s="2" t="s">
        <v>228</v>
      </c>
      <c r="D229" s="36"/>
      <c r="E229" s="35" t="s">
        <v>1729</v>
      </c>
    </row>
    <row r="230" spans="1:5" x14ac:dyDescent="0.2">
      <c r="A230" s="34" t="str">
        <f>HYPERLINK("http://www.daganm.co.il/sku/FTP-0023/0.25","FTP-0023/0.25")</f>
        <v>FTP-0023/0.25</v>
      </c>
      <c r="B230" t="s">
        <v>6</v>
      </c>
      <c r="C230" s="2" t="s">
        <v>229</v>
      </c>
      <c r="D230" s="32"/>
      <c r="E230" s="35" t="s">
        <v>1730</v>
      </c>
    </row>
    <row r="231" spans="1:5" x14ac:dyDescent="0.2">
      <c r="A231" s="34" t="str">
        <f>HYPERLINK("http://www.daganm.co.il/sku/FTP-0023/0.3","FTP-0023/0.3")</f>
        <v>FTP-0023/0.3</v>
      </c>
      <c r="B231" t="s">
        <v>6</v>
      </c>
      <c r="C231" s="2" t="s">
        <v>230</v>
      </c>
      <c r="D231" s="32"/>
      <c r="E231" s="35" t="s">
        <v>1731</v>
      </c>
    </row>
    <row r="232" spans="1:5" x14ac:dyDescent="0.2">
      <c r="A232" s="34" t="str">
        <f>HYPERLINK("http://www.daganm.co.il/sku/FTP-0023/0.5","FTP-0023/0.5")</f>
        <v>FTP-0023/0.5</v>
      </c>
      <c r="B232" t="s">
        <v>6</v>
      </c>
      <c r="C232" s="2" t="s">
        <v>231</v>
      </c>
      <c r="D232" s="32"/>
      <c r="E232" s="35" t="s">
        <v>1732</v>
      </c>
    </row>
    <row r="233" spans="1:5" x14ac:dyDescent="0.2">
      <c r="A233" s="34" t="str">
        <f>HYPERLINK("http://www.daganm.co.il/sku/FTP-0023/1","FTP-0023/1")</f>
        <v>FTP-0023/1</v>
      </c>
      <c r="B233" t="s">
        <v>6</v>
      </c>
      <c r="C233" s="2" t="s">
        <v>232</v>
      </c>
      <c r="D233" s="32"/>
      <c r="E233" s="35" t="s">
        <v>1733</v>
      </c>
    </row>
    <row r="234" spans="1:5" x14ac:dyDescent="0.2">
      <c r="A234" s="34" t="str">
        <f>HYPERLINK("http://www.daganm.co.il/sku/FTP-0023/1.5","FTP-0023/1.5")</f>
        <v>FTP-0023/1.5</v>
      </c>
      <c r="B234" t="s">
        <v>6</v>
      </c>
      <c r="C234" s="2" t="s">
        <v>233</v>
      </c>
      <c r="D234" s="36"/>
      <c r="E234" s="35" t="s">
        <v>1734</v>
      </c>
    </row>
    <row r="235" spans="1:5" x14ac:dyDescent="0.2">
      <c r="A235" s="34" t="str">
        <f>HYPERLINK("http://www.daganm.co.il/sku/FTP-0023/2","FTP-0023/2")</f>
        <v>FTP-0023/2</v>
      </c>
      <c r="B235" t="s">
        <v>6</v>
      </c>
      <c r="C235" s="2" t="s">
        <v>234</v>
      </c>
      <c r="D235" s="32"/>
      <c r="E235" s="35" t="s">
        <v>1735</v>
      </c>
    </row>
    <row r="236" spans="1:5" x14ac:dyDescent="0.2">
      <c r="A236" s="34" t="str">
        <f>HYPERLINK("http://www.daganm.co.il/sku/FTP-0023/3","FTP-0023/3")</f>
        <v>FTP-0023/3</v>
      </c>
      <c r="B236" t="s">
        <v>6</v>
      </c>
      <c r="C236" s="2" t="s">
        <v>235</v>
      </c>
      <c r="D236" s="32"/>
      <c r="E236" s="35" t="s">
        <v>1736</v>
      </c>
    </row>
    <row r="237" spans="1:5" x14ac:dyDescent="0.2">
      <c r="A237" s="34" t="str">
        <f>HYPERLINK("http://www.daganm.co.il/sku/FTP-0023/5","FTP-0023/5")</f>
        <v>FTP-0023/5</v>
      </c>
      <c r="B237" t="s">
        <v>6</v>
      </c>
      <c r="C237" s="2" t="s">
        <v>236</v>
      </c>
      <c r="D237" s="36"/>
      <c r="E237" s="35" t="s">
        <v>1737</v>
      </c>
    </row>
    <row r="238" spans="1:5" x14ac:dyDescent="0.2">
      <c r="A238" s="34" t="str">
        <f>HYPERLINK("http://www.daganm.co.il/sku/FTP-0023/7.5","FTP-0023/7.5")</f>
        <v>FTP-0023/7.5</v>
      </c>
      <c r="B238" t="s">
        <v>6</v>
      </c>
      <c r="C238" s="2" t="s">
        <v>237</v>
      </c>
      <c r="D238" s="32"/>
      <c r="E238" s="35" t="s">
        <v>1738</v>
      </c>
    </row>
    <row r="239" spans="1:5" x14ac:dyDescent="0.2">
      <c r="A239" s="34" t="str">
        <f>HYPERLINK("http://www.daganm.co.il/sku/FTP-0023/10","FTP-0023/10")</f>
        <v>FTP-0023/10</v>
      </c>
      <c r="B239" t="s">
        <v>6</v>
      </c>
      <c r="C239" s="2" t="s">
        <v>238</v>
      </c>
      <c r="D239" s="36"/>
      <c r="E239" s="35" t="s">
        <v>1739</v>
      </c>
    </row>
    <row r="240" spans="1:5" x14ac:dyDescent="0.2">
      <c r="A240" s="34" t="str">
        <f>HYPERLINK("http://www.daganm.co.il/sku/FTP-0023/15","FTP-0023/15")</f>
        <v>FTP-0023/15</v>
      </c>
      <c r="B240" t="s">
        <v>6</v>
      </c>
      <c r="C240" s="2" t="s">
        <v>239</v>
      </c>
      <c r="D240" s="36"/>
      <c r="E240" s="35" t="s">
        <v>1740</v>
      </c>
    </row>
    <row r="241" spans="1:5" x14ac:dyDescent="0.2">
      <c r="A241" s="34" t="str">
        <f>HYPERLINK("http://www.daganm.co.il/sku/FTP-0023/20","FTP-0023/20")</f>
        <v>FTP-0023/20</v>
      </c>
      <c r="B241" t="s">
        <v>6</v>
      </c>
      <c r="C241" s="2" t="s">
        <v>240</v>
      </c>
      <c r="D241" s="36"/>
      <c r="E241" s="35" t="s">
        <v>1741</v>
      </c>
    </row>
    <row r="242" spans="1:5" x14ac:dyDescent="0.2">
      <c r="A242" s="34" t="str">
        <f>HYPERLINK("http://www.daganm.co.il/sku/FTP-0023/25","FTP-0023/25")</f>
        <v>FTP-0023/25</v>
      </c>
      <c r="B242" t="s">
        <v>6</v>
      </c>
      <c r="C242" s="2" t="s">
        <v>241</v>
      </c>
      <c r="D242" s="32"/>
      <c r="E242" s="32" t="s">
        <v>1742</v>
      </c>
    </row>
    <row r="243" spans="1:5" x14ac:dyDescent="0.2">
      <c r="A243" s="34" t="str">
        <f>HYPERLINK("http://www.daganm.co.il/sku/FTP-0023/30","FTP-0023/30")</f>
        <v>FTP-0023/30</v>
      </c>
      <c r="B243" t="s">
        <v>6</v>
      </c>
      <c r="C243" s="2" t="s">
        <v>242</v>
      </c>
      <c r="D243" s="32"/>
      <c r="E243" s="35" t="s">
        <v>1743</v>
      </c>
    </row>
    <row r="244" spans="1:5" x14ac:dyDescent="0.2">
      <c r="A244" s="34" t="str">
        <f>HYPERLINK("http://www.daganm.co.il/sku/FTP-0023/40","FTP-0023/40")</f>
        <v>FTP-0023/40</v>
      </c>
      <c r="B244" t="s">
        <v>6</v>
      </c>
      <c r="C244" s="2" t="s">
        <v>243</v>
      </c>
      <c r="D244" s="32"/>
      <c r="E244" s="35" t="s">
        <v>1744</v>
      </c>
    </row>
    <row r="245" spans="1:5" x14ac:dyDescent="0.2">
      <c r="A245" s="34" t="str">
        <f>HYPERLINK("http://www.daganm.co.il/sku/FTP-0023/50","FTP-0023/50")</f>
        <v>FTP-0023/50</v>
      </c>
      <c r="B245" t="s">
        <v>6</v>
      </c>
      <c r="C245" s="2" t="s">
        <v>244</v>
      </c>
      <c r="D245" s="32"/>
      <c r="E245" s="35" t="s">
        <v>1745</v>
      </c>
    </row>
    <row r="246" spans="1:5" x14ac:dyDescent="0.2">
      <c r="A246" s="34" t="str">
        <f>HYPERLINK("http://www.daganm.co.il/sku/FTP-0023/75","FTP-0023/75")</f>
        <v>FTP-0023/75</v>
      </c>
      <c r="B246" t="s">
        <v>6</v>
      </c>
      <c r="C246" s="2" t="s">
        <v>3235</v>
      </c>
      <c r="D246" s="32">
        <v>45448</v>
      </c>
      <c r="E246" s="35" t="s">
        <v>3377</v>
      </c>
    </row>
    <row r="247" spans="1:5" x14ac:dyDescent="0.2">
      <c r="A247" s="34" t="str">
        <f>HYPERLINK("http://www.daganm.co.il/sku/FTP-0023/100","FTP-0023/100")</f>
        <v>FTP-0023/100</v>
      </c>
      <c r="B247" t="s">
        <v>6</v>
      </c>
      <c r="C247" s="2" t="s">
        <v>3236</v>
      </c>
      <c r="D247" s="32"/>
      <c r="E247" s="35" t="s">
        <v>3378</v>
      </c>
    </row>
    <row r="248" spans="1:5" x14ac:dyDescent="0.2">
      <c r="B248"/>
      <c r="C248" s="33" t="s">
        <v>3698</v>
      </c>
      <c r="D248" s="32"/>
      <c r="E248" s="35"/>
    </row>
    <row r="249" spans="1:5" x14ac:dyDescent="0.2">
      <c r="A249" s="34" t="str">
        <f>HYPERLINK("http://www.daganm.co.il/sku/FTP-0035/0.15","FTP-0035/0.15")</f>
        <v>FTP-0035/0.15</v>
      </c>
      <c r="B249" t="s">
        <v>6</v>
      </c>
      <c r="C249" s="2" t="s">
        <v>3699</v>
      </c>
      <c r="D249" s="32"/>
      <c r="E249" s="35" t="s">
        <v>3952</v>
      </c>
    </row>
    <row r="250" spans="1:5" x14ac:dyDescent="0.2">
      <c r="A250" s="34" t="str">
        <f>HYPERLINK("http://www.daganm.co.il/sku/FTP-0035/0.2","FTP-0035/0.2")</f>
        <v>FTP-0035/0.2</v>
      </c>
      <c r="B250" t="s">
        <v>6</v>
      </c>
      <c r="C250" s="2" t="s">
        <v>3700</v>
      </c>
      <c r="D250" s="32"/>
      <c r="E250" s="35" t="s">
        <v>3953</v>
      </c>
    </row>
    <row r="251" spans="1:5" x14ac:dyDescent="0.2">
      <c r="A251" s="34" t="str">
        <f>HYPERLINK("http://www.daganm.co.il/sku/FTP-0035/0.25","FTP-0035/0.25")</f>
        <v>FTP-0035/0.25</v>
      </c>
      <c r="B251" t="s">
        <v>6</v>
      </c>
      <c r="C251" s="2" t="s">
        <v>3701</v>
      </c>
      <c r="D251" s="32"/>
      <c r="E251" s="35" t="s">
        <v>3954</v>
      </c>
    </row>
    <row r="252" spans="1:5" x14ac:dyDescent="0.2">
      <c r="A252" s="34" t="str">
        <f>HYPERLINK("http://www.daganm.co.il/sku/FTP-0035/0.3","FTP-0035/0.3")</f>
        <v>FTP-0035/0.3</v>
      </c>
      <c r="B252" t="s">
        <v>6</v>
      </c>
      <c r="C252" s="2" t="s">
        <v>3702</v>
      </c>
      <c r="D252" s="32"/>
      <c r="E252" s="35" t="s">
        <v>3955</v>
      </c>
    </row>
    <row r="253" spans="1:5" x14ac:dyDescent="0.2">
      <c r="A253" s="34" t="str">
        <f>HYPERLINK("http://www.daganm.co.il/sku/FTP-0035/0.5","FTP-0035/0.5")</f>
        <v>FTP-0035/0.5</v>
      </c>
      <c r="B253" t="s">
        <v>6</v>
      </c>
      <c r="C253" s="2" t="s">
        <v>3703</v>
      </c>
      <c r="D253" s="32"/>
      <c r="E253" s="35" t="s">
        <v>3956</v>
      </c>
    </row>
    <row r="254" spans="1:5" x14ac:dyDescent="0.2">
      <c r="A254" s="34" t="str">
        <f>HYPERLINK("http://www.daganm.co.il/sku/FTP-0035/1","FTP-0035/1")</f>
        <v>FTP-0035/1</v>
      </c>
      <c r="B254" t="s">
        <v>6</v>
      </c>
      <c r="C254" s="2" t="s">
        <v>3704</v>
      </c>
      <c r="D254" s="32"/>
      <c r="E254" s="35" t="s">
        <v>3957</v>
      </c>
    </row>
    <row r="255" spans="1:5" x14ac:dyDescent="0.2">
      <c r="A255" s="34" t="str">
        <f>HYPERLINK("http://www.daganm.co.il/sku/FTP-0035/1.5","FTP-0035/1.5")</f>
        <v>FTP-0035/1.5</v>
      </c>
      <c r="B255" t="s">
        <v>6</v>
      </c>
      <c r="C255" s="2" t="s">
        <v>3705</v>
      </c>
      <c r="D255" s="32"/>
      <c r="E255" s="35" t="s">
        <v>3958</v>
      </c>
    </row>
    <row r="256" spans="1:5" x14ac:dyDescent="0.2">
      <c r="A256" s="34" t="str">
        <f>HYPERLINK("http://www.daganm.co.il/sku/FTP-0035/2","FTP-0035/2")</f>
        <v>FTP-0035/2</v>
      </c>
      <c r="B256" t="s">
        <v>6</v>
      </c>
      <c r="C256" s="2" t="s">
        <v>3706</v>
      </c>
      <c r="D256" s="32"/>
      <c r="E256" s="35" t="s">
        <v>3959</v>
      </c>
    </row>
    <row r="257" spans="1:5" x14ac:dyDescent="0.2">
      <c r="A257" s="34" t="str">
        <f>HYPERLINK("http://www.daganm.co.il/sku/FTP-0035/2.5","FTP-0035/2.5")</f>
        <v>FTP-0035/2.5</v>
      </c>
      <c r="B257" t="s">
        <v>6</v>
      </c>
      <c r="C257" s="2" t="s">
        <v>3707</v>
      </c>
      <c r="D257" s="32"/>
      <c r="E257" s="35" t="s">
        <v>3960</v>
      </c>
    </row>
    <row r="258" spans="1:5" x14ac:dyDescent="0.2">
      <c r="A258" s="34" t="str">
        <f>HYPERLINK("http://www.daganm.co.il/sku/FTP-0035/3","FTP-0035/3")</f>
        <v>FTP-0035/3</v>
      </c>
      <c r="B258" t="s">
        <v>6</v>
      </c>
      <c r="C258" s="2" t="s">
        <v>3708</v>
      </c>
      <c r="D258" s="32"/>
      <c r="E258" s="35" t="s">
        <v>3961</v>
      </c>
    </row>
    <row r="259" spans="1:5" x14ac:dyDescent="0.2">
      <c r="A259" s="34" t="str">
        <f>HYPERLINK("http://www.daganm.co.il/sku/FTP-0035/5","FTP-0035/5")</f>
        <v>FTP-0035/5</v>
      </c>
      <c r="B259" t="s">
        <v>6</v>
      </c>
      <c r="C259" s="2" t="s">
        <v>3709</v>
      </c>
      <c r="D259" s="32"/>
      <c r="E259" s="35" t="s">
        <v>3962</v>
      </c>
    </row>
    <row r="260" spans="1:5" x14ac:dyDescent="0.2">
      <c r="A260" s="34" t="str">
        <f>HYPERLINK("http://www.daganm.co.il/sku/FTP-0035/7.5","FTP-0035/7.5")</f>
        <v>FTP-0035/7.5</v>
      </c>
      <c r="B260" t="s">
        <v>6</v>
      </c>
      <c r="C260" s="2" t="s">
        <v>3710</v>
      </c>
      <c r="D260" s="32"/>
      <c r="E260" s="35" t="s">
        <v>3963</v>
      </c>
    </row>
    <row r="261" spans="1:5" x14ac:dyDescent="0.2">
      <c r="A261" s="34" t="str">
        <f>HYPERLINK("http://www.daganm.co.il/sku/FTP-0035/10","FTP-0035/10")</f>
        <v>FTP-0035/10</v>
      </c>
      <c r="B261" t="s">
        <v>6</v>
      </c>
      <c r="C261" s="2" t="s">
        <v>3711</v>
      </c>
      <c r="D261" s="32"/>
      <c r="E261" s="35" t="s">
        <v>3964</v>
      </c>
    </row>
    <row r="262" spans="1:5" x14ac:dyDescent="0.2">
      <c r="A262" s="34" t="str">
        <f>HYPERLINK("http://www.daganm.co.il/sku/FTP-0035/15","FTP-0035/15")</f>
        <v>FTP-0035/15</v>
      </c>
      <c r="B262" t="s">
        <v>6</v>
      </c>
      <c r="C262" s="2" t="s">
        <v>3712</v>
      </c>
      <c r="D262" s="32"/>
      <c r="E262" s="32" t="s">
        <v>3965</v>
      </c>
    </row>
    <row r="263" spans="1:5" x14ac:dyDescent="0.2">
      <c r="A263" s="34" t="str">
        <f>HYPERLINK("http://www.daganm.co.il/sku/FTP-0035/20","FTP-0035/20")</f>
        <v>FTP-0035/20</v>
      </c>
      <c r="B263" t="s">
        <v>6</v>
      </c>
      <c r="C263" s="2" t="s">
        <v>3713</v>
      </c>
      <c r="D263" s="32"/>
      <c r="E263" s="35" t="s">
        <v>3966</v>
      </c>
    </row>
    <row r="264" spans="1:5" x14ac:dyDescent="0.2">
      <c r="A264" s="34" t="str">
        <f>HYPERLINK("http://www.daganm.co.il/sku/FTP-0035/25","FTP-0035/25")</f>
        <v>FTP-0035/25</v>
      </c>
      <c r="B264" t="s">
        <v>6</v>
      </c>
      <c r="C264" s="2" t="s">
        <v>3714</v>
      </c>
      <c r="D264" s="32"/>
      <c r="E264" s="35" t="s">
        <v>3967</v>
      </c>
    </row>
    <row r="265" spans="1:5" x14ac:dyDescent="0.2">
      <c r="A265" s="34" t="str">
        <f>HYPERLINK("http://www.daganm.co.il/sku/FTP-0035/30","FTP-0035/30")</f>
        <v>FTP-0035/30</v>
      </c>
      <c r="B265" t="s">
        <v>6</v>
      </c>
      <c r="C265" s="2" t="s">
        <v>3715</v>
      </c>
      <c r="D265" s="36"/>
      <c r="E265" s="35" t="s">
        <v>3968</v>
      </c>
    </row>
    <row r="266" spans="1:5" x14ac:dyDescent="0.2">
      <c r="A266" s="34" t="str">
        <f>HYPERLINK("http://www.daganm.co.il/sku/FTP-0035/40","FTP-0035/40")</f>
        <v>FTP-0035/40</v>
      </c>
      <c r="B266" t="s">
        <v>6</v>
      </c>
      <c r="C266" s="2" t="s">
        <v>3716</v>
      </c>
      <c r="D266" s="32"/>
      <c r="E266" s="35" t="s">
        <v>3969</v>
      </c>
    </row>
    <row r="267" spans="1:5" x14ac:dyDescent="0.2">
      <c r="A267" s="34" t="str">
        <f>HYPERLINK("http://www.daganm.co.il/sku/FTP-0035/50","FTP-0035/50")</f>
        <v>FTP-0035/50</v>
      </c>
      <c r="B267" t="s">
        <v>6</v>
      </c>
      <c r="C267" s="2" t="s">
        <v>3717</v>
      </c>
      <c r="D267" s="36"/>
      <c r="E267" s="35" t="s">
        <v>3970</v>
      </c>
    </row>
    <row r="268" spans="1:5" x14ac:dyDescent="0.2">
      <c r="B268"/>
      <c r="C268" s="33" t="s">
        <v>12</v>
      </c>
      <c r="D268" s="32"/>
      <c r="E268" s="35"/>
    </row>
    <row r="269" spans="1:5" x14ac:dyDescent="0.2">
      <c r="A269" s="34" t="str">
        <f>HYPERLINK("http://www.daganm.co.il/sku/FTP-0007/0.15","FTP-0007/0.15")</f>
        <v>FTP-0007/0.15</v>
      </c>
      <c r="B269" t="s">
        <v>6</v>
      </c>
      <c r="C269" s="2" t="s">
        <v>336</v>
      </c>
      <c r="D269" s="32">
        <v>45448</v>
      </c>
      <c r="E269" s="35" t="s">
        <v>1837</v>
      </c>
    </row>
    <row r="270" spans="1:5" x14ac:dyDescent="0.2">
      <c r="A270" s="34" t="str">
        <f>HYPERLINK("http://www.daganm.co.il/sku/FTP-0007/0.2","FTP-0007/0.2")</f>
        <v>FTP-0007/0.2</v>
      </c>
      <c r="B270" t="s">
        <v>6</v>
      </c>
      <c r="C270" s="2" t="s">
        <v>337</v>
      </c>
      <c r="D270" s="32"/>
      <c r="E270" s="35" t="s">
        <v>1838</v>
      </c>
    </row>
    <row r="271" spans="1:5" x14ac:dyDescent="0.2">
      <c r="A271" s="34" t="str">
        <f>HYPERLINK("http://www.daganm.co.il/sku/FTP-0007/0.25","FTP-0007/0.25")</f>
        <v>FTP-0007/0.25</v>
      </c>
      <c r="B271" t="s">
        <v>6</v>
      </c>
      <c r="C271" s="2" t="s">
        <v>338</v>
      </c>
      <c r="D271" s="32"/>
      <c r="E271" s="35" t="s">
        <v>1839</v>
      </c>
    </row>
    <row r="272" spans="1:5" x14ac:dyDescent="0.2">
      <c r="A272" s="34" t="str">
        <f>HYPERLINK("http://www.daganm.co.il/sku/FTP-0007/0.3","FTP-0007/0.3")</f>
        <v>FTP-0007/0.3</v>
      </c>
      <c r="B272" t="s">
        <v>6</v>
      </c>
      <c r="C272" s="2" t="s">
        <v>339</v>
      </c>
      <c r="D272" s="32"/>
      <c r="E272" s="35" t="s">
        <v>1840</v>
      </c>
    </row>
    <row r="273" spans="1:5" x14ac:dyDescent="0.2">
      <c r="A273" s="34" t="str">
        <f>HYPERLINK("http://www.daganm.co.il/sku/FTP-0007/0.5","FTP-0007/0.5")</f>
        <v>FTP-0007/0.5</v>
      </c>
      <c r="B273" t="s">
        <v>6</v>
      </c>
      <c r="C273" s="2" t="s">
        <v>340</v>
      </c>
      <c r="D273" s="32"/>
      <c r="E273" s="35" t="s">
        <v>1841</v>
      </c>
    </row>
    <row r="274" spans="1:5" x14ac:dyDescent="0.2">
      <c r="A274" s="34" t="str">
        <f>HYPERLINK("http://www.daganm.co.il/sku/FTP-0007/1","FTP-0007/1")</f>
        <v>FTP-0007/1</v>
      </c>
      <c r="B274" t="s">
        <v>6</v>
      </c>
      <c r="C274" s="2" t="s">
        <v>341</v>
      </c>
      <c r="D274" s="32"/>
      <c r="E274" s="35" t="s">
        <v>1842</v>
      </c>
    </row>
    <row r="275" spans="1:5" x14ac:dyDescent="0.2">
      <c r="A275" s="34" t="str">
        <f>HYPERLINK("http://www.daganm.co.il/sku/FTP-0007/1.5","FTP-0007/1.5")</f>
        <v>FTP-0007/1.5</v>
      </c>
      <c r="B275" t="s">
        <v>6</v>
      </c>
      <c r="C275" s="2" t="s">
        <v>342</v>
      </c>
      <c r="D275" s="32"/>
      <c r="E275" s="35" t="s">
        <v>1843</v>
      </c>
    </row>
    <row r="276" spans="1:5" x14ac:dyDescent="0.2">
      <c r="A276" s="34" t="str">
        <f>HYPERLINK("http://www.daganm.co.il/sku/FTP-0007/2","FTP-0007/2")</f>
        <v>FTP-0007/2</v>
      </c>
      <c r="B276" t="s">
        <v>6</v>
      </c>
      <c r="C276" s="2" t="s">
        <v>343</v>
      </c>
      <c r="D276" s="32"/>
      <c r="E276" s="35" t="s">
        <v>1844</v>
      </c>
    </row>
    <row r="277" spans="1:5" x14ac:dyDescent="0.2">
      <c r="A277" s="34" t="str">
        <f>HYPERLINK("http://www.daganm.co.il/sku/FTP-0007/3","FTP-0007/3")</f>
        <v>FTP-0007/3</v>
      </c>
      <c r="B277" t="s">
        <v>6</v>
      </c>
      <c r="C277" s="2" t="s">
        <v>344</v>
      </c>
      <c r="D277" s="32"/>
      <c r="E277" s="35" t="s">
        <v>1845</v>
      </c>
    </row>
    <row r="278" spans="1:5" x14ac:dyDescent="0.2">
      <c r="A278" s="34" t="str">
        <f>HYPERLINK("http://www.daganm.co.il/sku/FTP-0007/5","FTP-0007/5")</f>
        <v>FTP-0007/5</v>
      </c>
      <c r="B278" t="s">
        <v>6</v>
      </c>
      <c r="C278" s="2" t="s">
        <v>345</v>
      </c>
      <c r="D278" s="32"/>
      <c r="E278" s="35" t="s">
        <v>1846</v>
      </c>
    </row>
    <row r="279" spans="1:5" x14ac:dyDescent="0.2">
      <c r="A279" s="34" t="str">
        <f>HYPERLINK("http://www.daganm.co.il/sku/FTP-0007/7.5","FTP-0007/7.5")</f>
        <v>FTP-0007/7.5</v>
      </c>
      <c r="B279" t="s">
        <v>6</v>
      </c>
      <c r="C279" s="2" t="s">
        <v>346</v>
      </c>
      <c r="D279" s="32"/>
      <c r="E279" s="35" t="s">
        <v>1847</v>
      </c>
    </row>
    <row r="280" spans="1:5" x14ac:dyDescent="0.2">
      <c r="A280" s="34" t="str">
        <f>HYPERLINK("http://www.daganm.co.il/sku/FTP-0007/10","FTP-0007/10")</f>
        <v>FTP-0007/10</v>
      </c>
      <c r="B280" t="s">
        <v>6</v>
      </c>
      <c r="C280" s="2" t="s">
        <v>347</v>
      </c>
      <c r="D280" s="32"/>
      <c r="E280" s="35" t="s">
        <v>1848</v>
      </c>
    </row>
    <row r="281" spans="1:5" x14ac:dyDescent="0.2">
      <c r="A281" s="34" t="str">
        <f>HYPERLINK("http://www.daganm.co.il/sku/FTP-0007/15","FTP-0007/15")</f>
        <v>FTP-0007/15</v>
      </c>
      <c r="B281" t="s">
        <v>6</v>
      </c>
      <c r="C281" s="2" t="s">
        <v>348</v>
      </c>
      <c r="D281" s="32"/>
      <c r="E281" s="35" t="s">
        <v>1849</v>
      </c>
    </row>
    <row r="282" spans="1:5" x14ac:dyDescent="0.2">
      <c r="A282" s="34" t="str">
        <f>HYPERLINK("http://www.daganm.co.il/sku/FTP-0007/20","FTP-0007/20")</f>
        <v>FTP-0007/20</v>
      </c>
      <c r="B282" t="s">
        <v>6</v>
      </c>
      <c r="C282" s="2" t="s">
        <v>349</v>
      </c>
      <c r="D282" s="32"/>
      <c r="E282" s="35" t="s">
        <v>1850</v>
      </c>
    </row>
    <row r="283" spans="1:5" x14ac:dyDescent="0.2">
      <c r="A283" s="34" t="str">
        <f>HYPERLINK("http://www.daganm.co.il/sku/FTP-0007/25","FTP-0007/25")</f>
        <v>FTP-0007/25</v>
      </c>
      <c r="B283" t="s">
        <v>6</v>
      </c>
      <c r="C283" s="2" t="s">
        <v>350</v>
      </c>
      <c r="D283" s="32"/>
      <c r="E283" s="35" t="s">
        <v>1851</v>
      </c>
    </row>
    <row r="284" spans="1:5" x14ac:dyDescent="0.2">
      <c r="A284" s="34" t="str">
        <f>HYPERLINK("http://www.daganm.co.il/sku/FTP-0007/30","FTP-0007/30")</f>
        <v>FTP-0007/30</v>
      </c>
      <c r="B284" t="s">
        <v>6</v>
      </c>
      <c r="C284" s="2" t="s">
        <v>351</v>
      </c>
      <c r="D284" s="32"/>
      <c r="E284" s="35" t="s">
        <v>1852</v>
      </c>
    </row>
    <row r="285" spans="1:5" x14ac:dyDescent="0.2">
      <c r="A285" s="34" t="str">
        <f>HYPERLINK("http://www.daganm.co.il/sku/FTP-0007/40","FTP-0007/40")</f>
        <v>FTP-0007/40</v>
      </c>
      <c r="B285" t="s">
        <v>6</v>
      </c>
      <c r="C285" s="2" t="s">
        <v>352</v>
      </c>
      <c r="D285" s="32"/>
      <c r="E285" s="35" t="s">
        <v>1853</v>
      </c>
    </row>
    <row r="286" spans="1:5" x14ac:dyDescent="0.2">
      <c r="A286" s="34" t="str">
        <f>HYPERLINK("http://www.daganm.co.il/sku/FTP-0007/50","FTP-0007/50")</f>
        <v>FTP-0007/50</v>
      </c>
      <c r="B286" t="s">
        <v>6</v>
      </c>
      <c r="C286" s="2" t="s">
        <v>353</v>
      </c>
      <c r="D286" s="32"/>
      <c r="E286" s="35" t="s">
        <v>1854</v>
      </c>
    </row>
    <row r="287" spans="1:5" x14ac:dyDescent="0.2">
      <c r="A287" s="34" t="str">
        <f>HYPERLINK("http://www.daganm.co.il/sku/F0007/0.25","F0007/0.25-WH")</f>
        <v>F0007/0.25-WH</v>
      </c>
      <c r="B287" t="s">
        <v>6</v>
      </c>
      <c r="C287" s="2" t="s">
        <v>354</v>
      </c>
      <c r="D287" s="32"/>
      <c r="E287" s="35" t="s">
        <v>1855</v>
      </c>
    </row>
    <row r="288" spans="1:5" x14ac:dyDescent="0.2">
      <c r="A288" s="34" t="str">
        <f>HYPERLINK("http://www.daganm.co.il/sku/F0007/0.25","F0007/0.25-BLK")</f>
        <v>F0007/0.25-BLK</v>
      </c>
      <c r="B288" t="s">
        <v>6</v>
      </c>
      <c r="C288" s="2" t="s">
        <v>355</v>
      </c>
      <c r="D288" s="32"/>
      <c r="E288" s="35" t="s">
        <v>1856</v>
      </c>
    </row>
    <row r="289" spans="1:5" x14ac:dyDescent="0.2">
      <c r="A289" s="34" t="str">
        <f>HYPERLINK("http://www.daganm.co.il/sku/F0007/0.25","F0007/0.25-GR")</f>
        <v>F0007/0.25-GR</v>
      </c>
      <c r="B289" t="s">
        <v>6</v>
      </c>
      <c r="C289" s="2" t="s">
        <v>356</v>
      </c>
      <c r="D289" s="32"/>
      <c r="E289" s="35" t="s">
        <v>1857</v>
      </c>
    </row>
    <row r="290" spans="1:5" x14ac:dyDescent="0.2">
      <c r="A290" s="34" t="str">
        <f>HYPERLINK("http://www.daganm.co.il/sku/F0007/0.25","F0007/0.25-PU")</f>
        <v>F0007/0.25-PU</v>
      </c>
      <c r="B290" t="s">
        <v>6</v>
      </c>
      <c r="C290" s="2" t="s">
        <v>357</v>
      </c>
      <c r="D290" s="32"/>
      <c r="E290" s="35" t="s">
        <v>1858</v>
      </c>
    </row>
    <row r="291" spans="1:5" x14ac:dyDescent="0.2">
      <c r="A291" s="34" t="str">
        <f>HYPERLINK("http://www.daganm.co.il/sku/F0007/0.25","F0007/0.25-RE")</f>
        <v>F0007/0.25-RE</v>
      </c>
      <c r="B291" t="s">
        <v>6</v>
      </c>
      <c r="C291" s="2" t="s">
        <v>358</v>
      </c>
      <c r="D291" s="32"/>
      <c r="E291" s="35" t="s">
        <v>1859</v>
      </c>
    </row>
    <row r="292" spans="1:5" x14ac:dyDescent="0.2">
      <c r="A292" s="34" t="str">
        <f>HYPERLINK("http://www.daganm.co.il/sku/F0007/0.25","F0007/0.25-YE")</f>
        <v>F0007/0.25-YE</v>
      </c>
      <c r="B292" t="s">
        <v>6</v>
      </c>
      <c r="C292" s="2" t="s">
        <v>359</v>
      </c>
      <c r="D292" s="32"/>
      <c r="E292" s="35" t="s">
        <v>1860</v>
      </c>
    </row>
    <row r="293" spans="1:5" x14ac:dyDescent="0.2">
      <c r="A293" s="34" t="str">
        <f>HYPERLINK("http://www.daganm.co.il/sku/F0007/0.5","F0007/0.5-GR")</f>
        <v>F0007/0.5-GR</v>
      </c>
      <c r="B293" t="s">
        <v>6</v>
      </c>
      <c r="C293" s="2" t="s">
        <v>360</v>
      </c>
      <c r="D293" s="32"/>
      <c r="E293" s="35" t="s">
        <v>1861</v>
      </c>
    </row>
    <row r="294" spans="1:5" x14ac:dyDescent="0.2">
      <c r="A294" s="34" t="str">
        <f>HYPERLINK("http://www.daganm.co.il/sku/F0007/1","F0007/1-WH")</f>
        <v>F0007/1-WH</v>
      </c>
      <c r="B294" t="s">
        <v>6</v>
      </c>
      <c r="C294" s="2" t="s">
        <v>361</v>
      </c>
      <c r="D294" s="32"/>
      <c r="E294" s="35" t="s">
        <v>1862</v>
      </c>
    </row>
    <row r="295" spans="1:5" x14ac:dyDescent="0.2">
      <c r="A295" s="34" t="str">
        <f>HYPERLINK("http://www.daganm.co.il/sku/F0007/1","F0007/1-GR")</f>
        <v>F0007/1-GR</v>
      </c>
      <c r="B295" t="s">
        <v>6</v>
      </c>
      <c r="C295" s="2" t="s">
        <v>362</v>
      </c>
      <c r="D295" s="32"/>
      <c r="E295" s="35" t="s">
        <v>1863</v>
      </c>
    </row>
    <row r="296" spans="1:5" x14ac:dyDescent="0.2">
      <c r="A296" s="34" t="str">
        <f>HYPERLINK("http://www.daganm.co.il/sku/F0007/1","F0007/1-PU")</f>
        <v>F0007/1-PU</v>
      </c>
      <c r="B296" t="s">
        <v>6</v>
      </c>
      <c r="C296" s="2" t="s">
        <v>363</v>
      </c>
      <c r="D296" s="32"/>
      <c r="E296" s="35" t="s">
        <v>1864</v>
      </c>
    </row>
    <row r="297" spans="1:5" x14ac:dyDescent="0.2">
      <c r="A297" s="34" t="str">
        <f>HYPERLINK("http://www.daganm.co.il/sku/F0007/1","F0007/1-RE")</f>
        <v>F0007/1-RE</v>
      </c>
      <c r="B297" t="s">
        <v>6</v>
      </c>
      <c r="C297" s="2" t="s">
        <v>364</v>
      </c>
      <c r="D297" s="32"/>
      <c r="E297" s="35" t="s">
        <v>1865</v>
      </c>
    </row>
    <row r="298" spans="1:5" x14ac:dyDescent="0.2">
      <c r="A298" s="34" t="str">
        <f>HYPERLINK("http://www.daganm.co.il/sku/F0007/1.5","F0007/1.5-PU")</f>
        <v>F0007/1.5-PU</v>
      </c>
      <c r="B298" t="s">
        <v>6</v>
      </c>
      <c r="C298" s="2" t="s">
        <v>365</v>
      </c>
      <c r="D298" s="32"/>
      <c r="E298" s="35" t="s">
        <v>1866</v>
      </c>
    </row>
    <row r="299" spans="1:5" x14ac:dyDescent="0.2">
      <c r="A299" s="34" t="str">
        <f>HYPERLINK("http://www.daganm.co.il/sku/F0007/1.5","F0007/1.5-YE")</f>
        <v>F0007/1.5-YE</v>
      </c>
      <c r="B299" t="s">
        <v>6</v>
      </c>
      <c r="C299" s="2" t="s">
        <v>366</v>
      </c>
      <c r="D299" s="32"/>
      <c r="E299" s="35" t="s">
        <v>1867</v>
      </c>
    </row>
    <row r="300" spans="1:5" x14ac:dyDescent="0.2">
      <c r="A300" s="34" t="str">
        <f>HYPERLINK("http://www.daganm.co.il/sku/F0007/2","F0007/2-WH")</f>
        <v>F0007/2-WH</v>
      </c>
      <c r="B300" t="s">
        <v>6</v>
      </c>
      <c r="C300" s="2" t="s">
        <v>367</v>
      </c>
      <c r="D300" s="32"/>
      <c r="E300" s="35" t="s">
        <v>1868</v>
      </c>
    </row>
    <row r="301" spans="1:5" x14ac:dyDescent="0.2">
      <c r="A301" s="34" t="str">
        <f>HYPERLINK("http://www.daganm.co.il/sku/F0007/2","F0007/2-GR")</f>
        <v>F0007/2-GR</v>
      </c>
      <c r="B301" t="s">
        <v>6</v>
      </c>
      <c r="C301" s="2" t="s">
        <v>368</v>
      </c>
      <c r="D301" s="32"/>
      <c r="E301" s="35" t="s">
        <v>1869</v>
      </c>
    </row>
    <row r="302" spans="1:5" x14ac:dyDescent="0.2">
      <c r="A302" s="34" t="str">
        <f>HYPERLINK("http://www.daganm.co.il/sku/F0007/2","F0007/2-PU")</f>
        <v>F0007/2-PU</v>
      </c>
      <c r="B302" t="s">
        <v>6</v>
      </c>
      <c r="C302" s="2" t="s">
        <v>369</v>
      </c>
      <c r="D302" s="32"/>
      <c r="E302" s="35" t="s">
        <v>1870</v>
      </c>
    </row>
    <row r="303" spans="1:5" x14ac:dyDescent="0.2">
      <c r="A303" s="34" t="str">
        <f>HYPERLINK("http://www.daganm.co.il/sku/F0007/3","F0007/3-WH")</f>
        <v>F0007/3-WH</v>
      </c>
      <c r="B303" t="s">
        <v>6</v>
      </c>
      <c r="C303" s="2" t="s">
        <v>370</v>
      </c>
      <c r="D303" s="32"/>
      <c r="E303" s="35" t="s">
        <v>1871</v>
      </c>
    </row>
    <row r="304" spans="1:5" x14ac:dyDescent="0.2">
      <c r="A304" s="34" t="str">
        <f>HYPERLINK("http://www.daganm.co.il/sku/F0007/3","F0007/3-PU")</f>
        <v>F0007/3-PU</v>
      </c>
      <c r="B304" t="s">
        <v>6</v>
      </c>
      <c r="C304" s="2" t="s">
        <v>371</v>
      </c>
      <c r="D304" s="32"/>
      <c r="E304" s="35" t="s">
        <v>1872</v>
      </c>
    </row>
    <row r="305" spans="1:5" x14ac:dyDescent="0.2">
      <c r="A305" s="34" t="str">
        <f>HYPERLINK("http://www.daganm.co.il/sku/F0007/3","F0007/3-YE")</f>
        <v>F0007/3-YE</v>
      </c>
      <c r="B305" t="s">
        <v>6</v>
      </c>
      <c r="C305" s="2" t="s">
        <v>372</v>
      </c>
      <c r="D305" s="32"/>
      <c r="E305" s="35" t="s">
        <v>1873</v>
      </c>
    </row>
    <row r="306" spans="1:5" x14ac:dyDescent="0.2">
      <c r="A306" s="34" t="str">
        <f>HYPERLINK("http://www.daganm.co.il/sku/F0007/5","F0007/5-BLU")</f>
        <v>F0007/5-BLU</v>
      </c>
      <c r="B306" t="s">
        <v>6</v>
      </c>
      <c r="C306" s="2" t="s">
        <v>373</v>
      </c>
      <c r="D306" s="32"/>
      <c r="E306" s="35" t="s">
        <v>1874</v>
      </c>
    </row>
    <row r="307" spans="1:5" x14ac:dyDescent="0.2">
      <c r="A307" s="34" t="str">
        <f>HYPERLINK("http://www.daganm.co.il/sku/F0007/5","F0007/5-GR")</f>
        <v>F0007/5-GR</v>
      </c>
      <c r="B307" t="s">
        <v>6</v>
      </c>
      <c r="C307" s="2" t="s">
        <v>374</v>
      </c>
      <c r="D307" s="32"/>
      <c r="E307" s="32" t="s">
        <v>1875</v>
      </c>
    </row>
    <row r="308" spans="1:5" x14ac:dyDescent="0.2">
      <c r="A308" s="34" t="str">
        <f>HYPERLINK("http://www.daganm.co.il/sku/F0007/5","F0007/5-PU")</f>
        <v>F0007/5-PU</v>
      </c>
      <c r="B308" t="s">
        <v>6</v>
      </c>
      <c r="C308" s="2" t="s">
        <v>375</v>
      </c>
      <c r="D308" s="32"/>
      <c r="E308" s="35" t="s">
        <v>1876</v>
      </c>
    </row>
    <row r="309" spans="1:5" x14ac:dyDescent="0.2">
      <c r="A309" s="34" t="str">
        <f>HYPERLINK("http://www.daganm.co.il/sku/F0007/5","F0007/5-RE")</f>
        <v>F0007/5-RE</v>
      </c>
      <c r="B309" t="s">
        <v>6</v>
      </c>
      <c r="C309" s="2" t="s">
        <v>376</v>
      </c>
      <c r="D309" s="36"/>
      <c r="E309" s="35" t="s">
        <v>1877</v>
      </c>
    </row>
    <row r="310" spans="1:5" x14ac:dyDescent="0.2">
      <c r="A310" s="34" t="str">
        <f>HYPERLINK("http://www.daganm.co.il/sku/F0007/10","F0007/10-GR")</f>
        <v>F0007/10-GR</v>
      </c>
      <c r="B310" t="s">
        <v>6</v>
      </c>
      <c r="C310" s="2" t="s">
        <v>377</v>
      </c>
      <c r="D310" s="32"/>
      <c r="E310" s="35" t="s">
        <v>1878</v>
      </c>
    </row>
    <row r="311" spans="1:5" x14ac:dyDescent="0.2">
      <c r="A311" s="34" t="str">
        <f>HYPERLINK("http://www.daganm.co.il/sku/F0007/10","F0007/10-PU")</f>
        <v>F0007/10-PU</v>
      </c>
      <c r="B311" t="s">
        <v>6</v>
      </c>
      <c r="C311" s="2" t="s">
        <v>378</v>
      </c>
      <c r="D311" s="32"/>
      <c r="E311" s="35" t="s">
        <v>1879</v>
      </c>
    </row>
    <row r="312" spans="1:5" x14ac:dyDescent="0.2">
      <c r="A312" s="34" t="str">
        <f>HYPERLINK("http://www.daganm.co.il/sku/F0007/10","F0007/10-RE")</f>
        <v>F0007/10-RE</v>
      </c>
      <c r="B312" t="s">
        <v>6</v>
      </c>
      <c r="C312" s="2" t="s">
        <v>379</v>
      </c>
      <c r="D312" s="32"/>
      <c r="E312" s="35" t="s">
        <v>1880</v>
      </c>
    </row>
    <row r="313" spans="1:5" x14ac:dyDescent="0.2">
      <c r="B313"/>
      <c r="C313" s="33" t="s">
        <v>13</v>
      </c>
      <c r="D313" s="36"/>
      <c r="E313" s="35"/>
    </row>
    <row r="314" spans="1:5" x14ac:dyDescent="0.2">
      <c r="A314" s="34" t="str">
        <f>HYPERLINK("http://www.daganm.co.il/sku/CBL1350B-0.4/3","CBL1350B-0.4/3")</f>
        <v>CBL1350B-0.4/3</v>
      </c>
      <c r="B314" t="s">
        <v>6</v>
      </c>
      <c r="C314" s="2" t="s">
        <v>3508</v>
      </c>
      <c r="D314" s="32"/>
      <c r="E314" s="35" t="s">
        <v>3610</v>
      </c>
    </row>
    <row r="315" spans="1:5" x14ac:dyDescent="0.2">
      <c r="A315" s="34" t="str">
        <f>HYPERLINK("http://www.daganm.co.il/sku/CBL1350W-0.4/3","CBL1350W-0.4/3")</f>
        <v>CBL1350W-0.4/3</v>
      </c>
      <c r="B315" t="s">
        <v>6</v>
      </c>
      <c r="C315" s="2" t="s">
        <v>3718</v>
      </c>
      <c r="D315" s="32"/>
      <c r="E315" s="35" t="s">
        <v>3971</v>
      </c>
    </row>
    <row r="316" spans="1:5" x14ac:dyDescent="0.2">
      <c r="A316" s="34" t="str">
        <f>HYPERLINK("http://www.daganm.co.il/sku/CBL1300-1","CBL1300-1")</f>
        <v>CBL1300-1</v>
      </c>
      <c r="B316" t="s">
        <v>6</v>
      </c>
      <c r="C316" s="2" t="s">
        <v>380</v>
      </c>
      <c r="D316" s="32"/>
      <c r="E316" s="35" t="s">
        <v>1881</v>
      </c>
    </row>
    <row r="317" spans="1:5" x14ac:dyDescent="0.2">
      <c r="A317" s="34" t="str">
        <f>HYPERLINK("http://www.daganm.co.il/sku/CBL1300-2","CBL1300-2")</f>
        <v>CBL1300-2</v>
      </c>
      <c r="B317" t="s">
        <v>6</v>
      </c>
      <c r="C317" s="2" t="s">
        <v>381</v>
      </c>
      <c r="D317" s="32"/>
      <c r="E317" s="35" t="s">
        <v>1882</v>
      </c>
    </row>
    <row r="318" spans="1:5" x14ac:dyDescent="0.2">
      <c r="A318" s="34" t="str">
        <f>HYPERLINK("http://www.daganm.co.il/sku/CBL1300-3","CBL1300-3")</f>
        <v>CBL1300-3</v>
      </c>
      <c r="B318" t="s">
        <v>6</v>
      </c>
      <c r="C318" s="2" t="s">
        <v>382</v>
      </c>
      <c r="D318" s="32"/>
      <c r="E318" s="35" t="s">
        <v>1883</v>
      </c>
    </row>
    <row r="319" spans="1:5" x14ac:dyDescent="0.2">
      <c r="A319" s="34" t="str">
        <f>HYPERLINK("http://www.daganm.co.il/sku/CBL1300-5","CBL1300-5")</f>
        <v>CBL1300-5</v>
      </c>
      <c r="B319" t="s">
        <v>6</v>
      </c>
      <c r="C319" s="2" t="s">
        <v>383</v>
      </c>
      <c r="D319" s="32" t="s">
        <v>1630</v>
      </c>
      <c r="E319" s="35" t="s">
        <v>1884</v>
      </c>
    </row>
    <row r="320" spans="1:5" x14ac:dyDescent="0.2">
      <c r="A320" s="34" t="str">
        <f>HYPERLINK("http://www.daganm.co.il/sku/CBL1300-10","CBL1300-10")</f>
        <v>CBL1300-10</v>
      </c>
      <c r="B320" t="s">
        <v>6</v>
      </c>
      <c r="C320" s="2" t="s">
        <v>384</v>
      </c>
      <c r="D320" s="32"/>
      <c r="E320" s="35" t="s">
        <v>1885</v>
      </c>
    </row>
    <row r="321" spans="1:5" x14ac:dyDescent="0.2">
      <c r="A321" s="34" t="str">
        <f>HYPERLINK("http://www.daganm.co.il/sku/CBL1300B-1","CBL1300B-1")</f>
        <v>CBL1300B-1</v>
      </c>
      <c r="B321" t="s">
        <v>6</v>
      </c>
      <c r="C321" s="2" t="s">
        <v>385</v>
      </c>
      <c r="D321" s="32"/>
      <c r="E321" s="35" t="s">
        <v>1886</v>
      </c>
    </row>
    <row r="322" spans="1:5" x14ac:dyDescent="0.2">
      <c r="A322" s="34" t="str">
        <f>HYPERLINK("http://www.daganm.co.il/sku/CBL1300B-2","CBL1300B-2")</f>
        <v>CBL1300B-2</v>
      </c>
      <c r="B322" t="s">
        <v>6</v>
      </c>
      <c r="C322" s="2" t="s">
        <v>386</v>
      </c>
      <c r="D322" s="32"/>
      <c r="E322" s="35" t="s">
        <v>1887</v>
      </c>
    </row>
    <row r="323" spans="1:5" x14ac:dyDescent="0.2">
      <c r="A323" s="34" t="str">
        <f>HYPERLINK("http://www.daganm.co.il/sku/CBL1300B-3","CBL1300B-3")</f>
        <v>CBL1300B-3</v>
      </c>
      <c r="B323" t="s">
        <v>6</v>
      </c>
      <c r="C323" s="2" t="s">
        <v>387</v>
      </c>
      <c r="D323" s="32"/>
      <c r="E323" s="32" t="s">
        <v>1888</v>
      </c>
    </row>
    <row r="324" spans="1:5" x14ac:dyDescent="0.2">
      <c r="A324" s="34" t="str">
        <f>HYPERLINK("http://www.daganm.co.il/sku/FTP-0088/0.25","FTP-0088/0.25")</f>
        <v>FTP-0088/0.25</v>
      </c>
      <c r="B324" t="s">
        <v>6</v>
      </c>
      <c r="C324" s="2" t="s">
        <v>388</v>
      </c>
      <c r="D324" s="32"/>
      <c r="E324" s="32" t="s">
        <v>1889</v>
      </c>
    </row>
    <row r="325" spans="1:5" x14ac:dyDescent="0.2">
      <c r="A325" s="34" t="str">
        <f>HYPERLINK("http://www.daganm.co.il/sku/FTP-0088/0.5","FTP-0088/0.5")</f>
        <v>FTP-0088/0.5</v>
      </c>
      <c r="B325" t="s">
        <v>6</v>
      </c>
      <c r="C325" s="2" t="s">
        <v>389</v>
      </c>
      <c r="D325" s="32"/>
      <c r="E325" s="35" t="s">
        <v>1890</v>
      </c>
    </row>
    <row r="326" spans="1:5" x14ac:dyDescent="0.2">
      <c r="A326" s="34" t="str">
        <f>HYPERLINK("http://www.daganm.co.il/sku/FTP-0088/1","FTP-0088/1")</f>
        <v>FTP-0088/1</v>
      </c>
      <c r="B326" t="s">
        <v>6</v>
      </c>
      <c r="C326" s="2" t="s">
        <v>390</v>
      </c>
      <c r="D326" s="32"/>
      <c r="E326" s="35" t="s">
        <v>1891</v>
      </c>
    </row>
    <row r="327" spans="1:5" x14ac:dyDescent="0.2">
      <c r="A327" s="34" t="str">
        <f>HYPERLINK("http://www.daganm.co.il/sku/TEL-0008RA","TEL-0008RA")</f>
        <v>TEL-0008RA</v>
      </c>
      <c r="B327" t="s">
        <v>6</v>
      </c>
      <c r="C327" s="2" t="s">
        <v>391</v>
      </c>
      <c r="D327" s="32"/>
      <c r="E327" s="35" t="s">
        <v>1892</v>
      </c>
    </row>
    <row r="328" spans="1:5" x14ac:dyDescent="0.2">
      <c r="A328" s="34" t="str">
        <f>HYPERLINK("http://www.daganm.co.il/sku/TEL-0008RA1","TEL-0008RA1")</f>
        <v>TEL-0008RA1</v>
      </c>
      <c r="B328" t="s">
        <v>6</v>
      </c>
      <c r="C328" s="2" t="s">
        <v>3719</v>
      </c>
      <c r="D328" s="32"/>
      <c r="E328" s="35" t="s">
        <v>1893</v>
      </c>
    </row>
    <row r="329" spans="1:5" x14ac:dyDescent="0.2">
      <c r="A329" s="37" t="str">
        <f>HYPERLINK("http://www.daganm.co.il/sku/TEL059B1","TEL059B1")</f>
        <v>TEL059B1</v>
      </c>
      <c r="B329" t="s">
        <v>6</v>
      </c>
      <c r="C329" s="2" t="s">
        <v>4080</v>
      </c>
      <c r="D329" s="32">
        <v>45448</v>
      </c>
      <c r="E329" s="35" t="s">
        <v>4227</v>
      </c>
    </row>
    <row r="330" spans="1:5" x14ac:dyDescent="0.2">
      <c r="A330" s="37" t="str">
        <f>HYPERLINK("http://www.daganm.co.il/sku/TEL059B2","TEL059B2")</f>
        <v>TEL059B2</v>
      </c>
      <c r="B330" t="s">
        <v>6</v>
      </c>
      <c r="C330" s="2" t="s">
        <v>4081</v>
      </c>
      <c r="D330" s="32">
        <v>45448</v>
      </c>
      <c r="E330" s="35" t="s">
        <v>4228</v>
      </c>
    </row>
    <row r="331" spans="1:5" x14ac:dyDescent="0.2">
      <c r="A331" s="37" t="str">
        <f>HYPERLINK("http://www.daganm.co.il/sku/TEL059B3","TEL059B3")</f>
        <v>TEL059B3</v>
      </c>
      <c r="B331" t="s">
        <v>6</v>
      </c>
      <c r="C331" s="2" t="s">
        <v>4082</v>
      </c>
      <c r="D331" s="32">
        <v>45448</v>
      </c>
      <c r="E331" s="35" t="s">
        <v>4229</v>
      </c>
    </row>
    <row r="332" spans="1:5" x14ac:dyDescent="0.2">
      <c r="A332" s="37" t="str">
        <f>HYPERLINK("http://www.daganm.co.il/sku/TEL059B4","TEL059B4")</f>
        <v>TEL059B4</v>
      </c>
      <c r="B332" t="s">
        <v>6</v>
      </c>
      <c r="C332" s="2" t="s">
        <v>4083</v>
      </c>
      <c r="D332" s="32">
        <v>45448</v>
      </c>
      <c r="E332" s="35" t="s">
        <v>4230</v>
      </c>
    </row>
    <row r="333" spans="1:5" ht="16.5" x14ac:dyDescent="0.25">
      <c r="B333"/>
      <c r="C333" s="31" t="s">
        <v>14</v>
      </c>
      <c r="D333" s="32"/>
      <c r="E333" s="35"/>
    </row>
    <row r="334" spans="1:5" x14ac:dyDescent="0.2">
      <c r="B334"/>
      <c r="C334" s="33" t="s">
        <v>3237</v>
      </c>
      <c r="D334" s="32"/>
      <c r="E334" s="35"/>
    </row>
    <row r="335" spans="1:5" x14ac:dyDescent="0.2">
      <c r="A335" s="34" t="str">
        <f>HYPERLINK("http://www.daganm.co.il/sku/OPT014-0.25","OPT014-0.25")</f>
        <v>OPT014-0.25</v>
      </c>
      <c r="B335" t="s">
        <v>6</v>
      </c>
      <c r="C335" s="2" t="s">
        <v>3238</v>
      </c>
      <c r="D335" s="32"/>
      <c r="E335" s="35" t="s">
        <v>3379</v>
      </c>
    </row>
    <row r="336" spans="1:5" x14ac:dyDescent="0.2">
      <c r="A336" s="34" t="str">
        <f>HYPERLINK("http://www.daganm.co.il/sku/OPT014-0.5","OPT014-0.5")</f>
        <v>OPT014-0.5</v>
      </c>
      <c r="B336" t="s">
        <v>6</v>
      </c>
      <c r="C336" s="2" t="s">
        <v>392</v>
      </c>
      <c r="D336" s="32"/>
      <c r="E336" s="35" t="s">
        <v>1894</v>
      </c>
    </row>
    <row r="337" spans="1:5" x14ac:dyDescent="0.2">
      <c r="A337" s="34" t="str">
        <f>HYPERLINK("http://www.daganm.co.il/sku/OPT014-1","OPT014-1")</f>
        <v>OPT014-1</v>
      </c>
      <c r="B337" t="s">
        <v>6</v>
      </c>
      <c r="C337" s="2" t="s">
        <v>393</v>
      </c>
      <c r="D337" s="32"/>
      <c r="E337" s="35" t="s">
        <v>1895</v>
      </c>
    </row>
    <row r="338" spans="1:5" x14ac:dyDescent="0.2">
      <c r="A338" s="34" t="str">
        <f>HYPERLINK("http://www.daganm.co.il/sku/OPT014-1.5","OPT014-1.5")</f>
        <v>OPT014-1.5</v>
      </c>
      <c r="B338" t="s">
        <v>6</v>
      </c>
      <c r="C338" s="2" t="s">
        <v>394</v>
      </c>
      <c r="D338" s="32"/>
      <c r="E338" s="35" t="s">
        <v>1896</v>
      </c>
    </row>
    <row r="339" spans="1:5" x14ac:dyDescent="0.2">
      <c r="A339" s="34" t="str">
        <f>HYPERLINK("http://www.daganm.co.il/sku/OPT014-2","OPT014-2")</f>
        <v>OPT014-2</v>
      </c>
      <c r="B339" t="s">
        <v>6</v>
      </c>
      <c r="C339" s="2" t="s">
        <v>395</v>
      </c>
      <c r="D339" s="32"/>
      <c r="E339" s="35" t="s">
        <v>1897</v>
      </c>
    </row>
    <row r="340" spans="1:5" x14ac:dyDescent="0.2">
      <c r="A340" s="34" t="str">
        <f>HYPERLINK("http://www.daganm.co.il/sku/OPT014-3","OPT014-3")</f>
        <v>OPT014-3</v>
      </c>
      <c r="B340" t="s">
        <v>6</v>
      </c>
      <c r="C340" s="2" t="s">
        <v>396</v>
      </c>
      <c r="D340" s="32"/>
      <c r="E340" s="35" t="s">
        <v>1898</v>
      </c>
    </row>
    <row r="341" spans="1:5" x14ac:dyDescent="0.2">
      <c r="A341" s="34" t="str">
        <f>HYPERLINK("http://www.daganm.co.il/sku/OPT014-5","OPT014-5")</f>
        <v>OPT014-5</v>
      </c>
      <c r="B341" t="s">
        <v>6</v>
      </c>
      <c r="C341" s="2" t="s">
        <v>397</v>
      </c>
      <c r="D341" s="32"/>
      <c r="E341" s="35" t="s">
        <v>1899</v>
      </c>
    </row>
    <row r="342" spans="1:5" x14ac:dyDescent="0.2">
      <c r="A342" s="34" t="str">
        <f>HYPERLINK("http://www.daganm.co.il/sku/OPT014-7","OPT014-7")</f>
        <v>OPT014-7</v>
      </c>
      <c r="B342" t="s">
        <v>6</v>
      </c>
      <c r="C342" s="2" t="s">
        <v>398</v>
      </c>
      <c r="D342" s="32"/>
      <c r="E342" s="35" t="s">
        <v>1900</v>
      </c>
    </row>
    <row r="343" spans="1:5" x14ac:dyDescent="0.2">
      <c r="A343" s="34" t="str">
        <f>HYPERLINK("http://www.daganm.co.il/sku/OPT014-10","OPT014-10")</f>
        <v>OPT014-10</v>
      </c>
      <c r="B343" t="s">
        <v>6</v>
      </c>
      <c r="C343" s="2" t="s">
        <v>399</v>
      </c>
      <c r="D343" s="32"/>
      <c r="E343" s="35" t="s">
        <v>1901</v>
      </c>
    </row>
    <row r="344" spans="1:5" x14ac:dyDescent="0.2">
      <c r="A344" s="34" t="str">
        <f>HYPERLINK("http://www.daganm.co.il/sku/OPT014-15","OPT014-15")</f>
        <v>OPT014-15</v>
      </c>
      <c r="B344" t="s">
        <v>6</v>
      </c>
      <c r="C344" s="2" t="s">
        <v>400</v>
      </c>
      <c r="D344" s="32"/>
      <c r="E344" s="35" t="s">
        <v>1902</v>
      </c>
    </row>
    <row r="345" spans="1:5" x14ac:dyDescent="0.2">
      <c r="A345" s="34" t="str">
        <f>HYPERLINK("http://www.daganm.co.il/sku/OPT014-20","OPT014-20")</f>
        <v>OPT014-20</v>
      </c>
      <c r="B345" t="s">
        <v>6</v>
      </c>
      <c r="C345" s="2" t="s">
        <v>401</v>
      </c>
      <c r="D345" s="32"/>
      <c r="E345" s="35" t="s">
        <v>1903</v>
      </c>
    </row>
    <row r="346" spans="1:5" x14ac:dyDescent="0.2">
      <c r="A346" s="34" t="str">
        <f>HYPERLINK("http://www.daganm.co.il/sku/OPT014-25","OPT014-25")</f>
        <v>OPT014-25</v>
      </c>
      <c r="B346" t="s">
        <v>6</v>
      </c>
      <c r="C346" s="2" t="s">
        <v>402</v>
      </c>
      <c r="D346" s="32"/>
      <c r="E346" s="35" t="s">
        <v>1904</v>
      </c>
    </row>
    <row r="347" spans="1:5" x14ac:dyDescent="0.2">
      <c r="A347" s="34" t="str">
        <f>HYPERLINK("http://www.daganm.co.il/sku/OPT014-30","OPT014-30")</f>
        <v>OPT014-30</v>
      </c>
      <c r="B347" t="s">
        <v>6</v>
      </c>
      <c r="C347" s="2" t="s">
        <v>403</v>
      </c>
      <c r="D347" s="32"/>
      <c r="E347" s="35" t="s">
        <v>1905</v>
      </c>
    </row>
    <row r="348" spans="1:5" x14ac:dyDescent="0.2">
      <c r="A348" s="34" t="str">
        <f>HYPERLINK("http://www.daganm.co.il/sku/OPT014-40","OPT014-40")</f>
        <v>OPT014-40</v>
      </c>
      <c r="B348" t="s">
        <v>6</v>
      </c>
      <c r="C348" s="2" t="s">
        <v>404</v>
      </c>
      <c r="D348" s="32"/>
      <c r="E348" s="35" t="s">
        <v>1906</v>
      </c>
    </row>
    <row r="349" spans="1:5" x14ac:dyDescent="0.2">
      <c r="A349" s="34" t="str">
        <f>HYPERLINK("http://www.daganm.co.il/sku/OPT014-50","OPT014-50")</f>
        <v>OPT014-50</v>
      </c>
      <c r="B349" t="s">
        <v>6</v>
      </c>
      <c r="C349" s="2" t="s">
        <v>405</v>
      </c>
      <c r="D349" s="32"/>
      <c r="E349" s="35" t="s">
        <v>1907</v>
      </c>
    </row>
    <row r="350" spans="1:5" x14ac:dyDescent="0.2">
      <c r="A350" s="37" t="str">
        <f>HYPERLINK("http://www.daganm.co.il/sku/OPT014-75","OPT014-75")</f>
        <v>OPT014-75</v>
      </c>
      <c r="B350" t="s">
        <v>6</v>
      </c>
      <c r="C350" s="2" t="s">
        <v>4084</v>
      </c>
      <c r="D350" s="32">
        <v>45442</v>
      </c>
      <c r="E350" s="35" t="s">
        <v>4231</v>
      </c>
    </row>
    <row r="351" spans="1:5" x14ac:dyDescent="0.2">
      <c r="A351" s="37" t="str">
        <f>HYPERLINK("http://www.daganm.co.il/sku/OPT014-100","OPT014-100")</f>
        <v>OPT014-100</v>
      </c>
      <c r="B351" t="s">
        <v>6</v>
      </c>
      <c r="C351" s="2" t="s">
        <v>4085</v>
      </c>
      <c r="D351" s="32">
        <v>45442</v>
      </c>
      <c r="E351" s="35" t="s">
        <v>4232</v>
      </c>
    </row>
    <row r="352" spans="1:5" x14ac:dyDescent="0.2">
      <c r="A352" s="34" t="str">
        <f>HYPERLINK("http://www.daganm.co.il/sku/OPT024-0.5","OPT024-0.5")</f>
        <v>OPT024-0.5</v>
      </c>
      <c r="B352" t="s">
        <v>6</v>
      </c>
      <c r="C352" s="2" t="s">
        <v>406</v>
      </c>
      <c r="D352" s="32"/>
      <c r="E352" s="35" t="s">
        <v>1908</v>
      </c>
    </row>
    <row r="353" spans="1:5" x14ac:dyDescent="0.2">
      <c r="A353" s="34" t="str">
        <f>HYPERLINK("http://www.daganm.co.il/sku/OPT024-1","OPT024-1")</f>
        <v>OPT024-1</v>
      </c>
      <c r="B353" t="s">
        <v>6</v>
      </c>
      <c r="C353" s="2" t="s">
        <v>407</v>
      </c>
      <c r="D353" s="32"/>
      <c r="E353" s="35" t="s">
        <v>1909</v>
      </c>
    </row>
    <row r="354" spans="1:5" x14ac:dyDescent="0.2">
      <c r="A354" s="34" t="str">
        <f>HYPERLINK("http://www.daganm.co.il/sku/OPT024-1.5","OPT024-1.5")</f>
        <v>OPT024-1.5</v>
      </c>
      <c r="B354" t="s">
        <v>6</v>
      </c>
      <c r="C354" s="2" t="s">
        <v>408</v>
      </c>
      <c r="D354" s="32"/>
      <c r="E354" s="35" t="s">
        <v>1910</v>
      </c>
    </row>
    <row r="355" spans="1:5" x14ac:dyDescent="0.2">
      <c r="A355" s="34" t="str">
        <f>HYPERLINK("http://www.daganm.co.il/sku/OPT024-2","OPT024-2")</f>
        <v>OPT024-2</v>
      </c>
      <c r="B355" t="s">
        <v>6</v>
      </c>
      <c r="C355" s="2" t="s">
        <v>409</v>
      </c>
      <c r="D355" s="32"/>
      <c r="E355" s="35" t="s">
        <v>1911</v>
      </c>
    </row>
    <row r="356" spans="1:5" x14ac:dyDescent="0.2">
      <c r="A356" s="34" t="str">
        <f>HYPERLINK("http://www.daganm.co.il/sku/OPT024-3","OPT024-3")</f>
        <v>OPT024-3</v>
      </c>
      <c r="B356" t="s">
        <v>6</v>
      </c>
      <c r="C356" s="2" t="s">
        <v>410</v>
      </c>
      <c r="D356" s="32"/>
      <c r="E356" s="35" t="s">
        <v>1912</v>
      </c>
    </row>
    <row r="357" spans="1:5" x14ac:dyDescent="0.2">
      <c r="A357" s="34" t="str">
        <f>HYPERLINK("http://www.daganm.co.il/sku/OPT024-5","OPT024-5")</f>
        <v>OPT024-5</v>
      </c>
      <c r="B357" t="s">
        <v>6</v>
      </c>
      <c r="C357" s="2" t="s">
        <v>411</v>
      </c>
      <c r="D357" s="32"/>
      <c r="E357" s="35" t="s">
        <v>1913</v>
      </c>
    </row>
    <row r="358" spans="1:5" x14ac:dyDescent="0.2">
      <c r="A358" s="34" t="str">
        <f>HYPERLINK("http://www.daganm.co.il/sku/OPT024-7","OPT024-7")</f>
        <v>OPT024-7</v>
      </c>
      <c r="B358" t="s">
        <v>6</v>
      </c>
      <c r="C358" s="2" t="s">
        <v>412</v>
      </c>
      <c r="D358" s="32"/>
      <c r="E358" s="35" t="s">
        <v>1914</v>
      </c>
    </row>
    <row r="359" spans="1:5" x14ac:dyDescent="0.2">
      <c r="A359" s="34" t="str">
        <f>HYPERLINK("http://www.daganm.co.il/sku/OPT024-10","OPT024-10")</f>
        <v>OPT024-10</v>
      </c>
      <c r="B359" t="s">
        <v>6</v>
      </c>
      <c r="C359" s="2" t="s">
        <v>413</v>
      </c>
      <c r="D359" s="36"/>
      <c r="E359" s="35" t="s">
        <v>1915</v>
      </c>
    </row>
    <row r="360" spans="1:5" x14ac:dyDescent="0.2">
      <c r="A360" s="34" t="str">
        <f>HYPERLINK("http://www.daganm.co.il/sku/OPT024-15","OPT024-15")</f>
        <v>OPT024-15</v>
      </c>
      <c r="B360" t="s">
        <v>6</v>
      </c>
      <c r="C360" s="2" t="s">
        <v>414</v>
      </c>
      <c r="D360" s="32"/>
      <c r="E360" s="35" t="s">
        <v>1916</v>
      </c>
    </row>
    <row r="361" spans="1:5" x14ac:dyDescent="0.2">
      <c r="A361" s="34" t="str">
        <f>HYPERLINK("http://www.daganm.co.il/sku/OPT024-20","OPT024-20")</f>
        <v>OPT024-20</v>
      </c>
      <c r="B361" t="s">
        <v>6</v>
      </c>
      <c r="C361" s="2" t="s">
        <v>415</v>
      </c>
      <c r="D361" s="32"/>
      <c r="E361" s="35" t="s">
        <v>1917</v>
      </c>
    </row>
    <row r="362" spans="1:5" x14ac:dyDescent="0.2">
      <c r="A362" s="34" t="str">
        <f>HYPERLINK("http://www.daganm.co.il/sku/OPT024-30","OPT024-30")</f>
        <v>OPT024-30</v>
      </c>
      <c r="B362" t="s">
        <v>6</v>
      </c>
      <c r="C362" s="2" t="s">
        <v>416</v>
      </c>
      <c r="D362" s="32"/>
      <c r="E362" s="35" t="s">
        <v>1918</v>
      </c>
    </row>
    <row r="363" spans="1:5" x14ac:dyDescent="0.2">
      <c r="A363" s="34" t="str">
        <f>HYPERLINK("http://www.daganm.co.il/sku/OPT034-1","OPT034-1")</f>
        <v>OPT034-1</v>
      </c>
      <c r="B363" t="s">
        <v>6</v>
      </c>
      <c r="C363" s="2" t="s">
        <v>417</v>
      </c>
      <c r="D363" s="32"/>
      <c r="E363" s="35" t="s">
        <v>1919</v>
      </c>
    </row>
    <row r="364" spans="1:5" x14ac:dyDescent="0.2">
      <c r="A364" s="34" t="str">
        <f>HYPERLINK("http://www.daganm.co.il/sku/OPT034-1.5","OPT034-1.5")</f>
        <v>OPT034-1.5</v>
      </c>
      <c r="B364" t="s">
        <v>6</v>
      </c>
      <c r="C364" s="2" t="s">
        <v>418</v>
      </c>
      <c r="D364" s="36">
        <v>45442</v>
      </c>
      <c r="E364" s="35" t="s">
        <v>1920</v>
      </c>
    </row>
    <row r="365" spans="1:5" x14ac:dyDescent="0.2">
      <c r="A365" s="34" t="str">
        <f>HYPERLINK("http://www.daganm.co.il/sku/OPT034-2","OPT034-2")</f>
        <v>OPT034-2</v>
      </c>
      <c r="B365" t="s">
        <v>6</v>
      </c>
      <c r="C365" s="2" t="s">
        <v>419</v>
      </c>
      <c r="D365" s="32"/>
      <c r="E365" s="35" t="s">
        <v>1921</v>
      </c>
    </row>
    <row r="366" spans="1:5" x14ac:dyDescent="0.2">
      <c r="A366" s="34" t="str">
        <f>HYPERLINK("http://www.daganm.co.il/sku/OPT034-3","OPT034-3")</f>
        <v>OPT034-3</v>
      </c>
      <c r="B366" t="s">
        <v>6</v>
      </c>
      <c r="C366" s="2" t="s">
        <v>420</v>
      </c>
      <c r="D366" s="32"/>
      <c r="E366" s="35" t="s">
        <v>1922</v>
      </c>
    </row>
    <row r="367" spans="1:5" x14ac:dyDescent="0.2">
      <c r="A367" s="34" t="str">
        <f>HYPERLINK("http://www.daganm.co.il/sku/OPT034-5","OPT034-5")</f>
        <v>OPT034-5</v>
      </c>
      <c r="B367" t="s">
        <v>6</v>
      </c>
      <c r="C367" s="2" t="s">
        <v>421</v>
      </c>
      <c r="D367" s="32"/>
      <c r="E367" s="35" t="s">
        <v>1923</v>
      </c>
    </row>
    <row r="368" spans="1:5" x14ac:dyDescent="0.2">
      <c r="A368" s="34" t="str">
        <f>HYPERLINK("http://www.daganm.co.il/sku/OPT034-10","OPT034-10")</f>
        <v>OPT034-10</v>
      </c>
      <c r="B368" t="s">
        <v>6</v>
      </c>
      <c r="C368" s="2" t="s">
        <v>422</v>
      </c>
      <c r="D368" s="32"/>
      <c r="E368" s="35" t="s">
        <v>1924</v>
      </c>
    </row>
    <row r="369" spans="1:5" x14ac:dyDescent="0.2">
      <c r="A369" s="34" t="str">
        <f>HYPERLINK("http://www.daganm.co.il/sku/OPT034-15","OPT034-15")</f>
        <v>OPT034-15</v>
      </c>
      <c r="B369" t="s">
        <v>6</v>
      </c>
      <c r="C369" s="2" t="s">
        <v>423</v>
      </c>
      <c r="D369" s="32">
        <v>45442</v>
      </c>
      <c r="E369" s="35" t="s">
        <v>1925</v>
      </c>
    </row>
    <row r="370" spans="1:5" x14ac:dyDescent="0.2">
      <c r="A370" s="34" t="str">
        <f>HYPERLINK("http://www.daganm.co.il/sku/OPT034-20","OPT034-20")</f>
        <v>OPT034-20</v>
      </c>
      <c r="B370" t="s">
        <v>6</v>
      </c>
      <c r="C370" s="2" t="s">
        <v>424</v>
      </c>
      <c r="D370" s="32"/>
      <c r="E370" s="35" t="s">
        <v>1926</v>
      </c>
    </row>
    <row r="371" spans="1:5" x14ac:dyDescent="0.2">
      <c r="A371" s="34" t="str">
        <f>HYPERLINK("http://www.daganm.co.il/sku/OPT044-1","OPT044-1")</f>
        <v>OPT044-1</v>
      </c>
      <c r="B371" t="s">
        <v>6</v>
      </c>
      <c r="C371" s="2" t="s">
        <v>425</v>
      </c>
      <c r="D371" s="32"/>
      <c r="E371" s="35" t="s">
        <v>1927</v>
      </c>
    </row>
    <row r="372" spans="1:5" x14ac:dyDescent="0.2">
      <c r="A372" s="34" t="str">
        <f>HYPERLINK("http://www.daganm.co.il/sku/OPT044-2","OPT044-2")</f>
        <v>OPT044-2</v>
      </c>
      <c r="B372" t="s">
        <v>6</v>
      </c>
      <c r="C372" s="2" t="s">
        <v>426</v>
      </c>
      <c r="D372" s="36"/>
      <c r="E372" s="35" t="s">
        <v>1928</v>
      </c>
    </row>
    <row r="373" spans="1:5" x14ac:dyDescent="0.2">
      <c r="A373" s="34" t="str">
        <f>HYPERLINK("http://www.daganm.co.il/sku/OPT044-3","OPT044-3")</f>
        <v>OPT044-3</v>
      </c>
      <c r="B373" t="s">
        <v>6</v>
      </c>
      <c r="C373" s="2" t="s">
        <v>427</v>
      </c>
      <c r="D373" s="32"/>
      <c r="E373" s="35" t="s">
        <v>1929</v>
      </c>
    </row>
    <row r="374" spans="1:5" x14ac:dyDescent="0.2">
      <c r="A374" s="34" t="str">
        <f>HYPERLINK("http://www.daganm.co.il/sku/OPT044-5","OPT044-5")</f>
        <v>OPT044-5</v>
      </c>
      <c r="B374" t="s">
        <v>6</v>
      </c>
      <c r="C374" s="2" t="s">
        <v>428</v>
      </c>
      <c r="D374" s="32"/>
      <c r="E374" s="35" t="s">
        <v>1930</v>
      </c>
    </row>
    <row r="375" spans="1:5" x14ac:dyDescent="0.2">
      <c r="A375" s="34" t="str">
        <f>HYPERLINK("http://www.daganm.co.il/sku/OPT044-10","OPT044-10")</f>
        <v>OPT044-10</v>
      </c>
      <c r="B375" t="s">
        <v>6</v>
      </c>
      <c r="C375" s="2" t="s">
        <v>4086</v>
      </c>
      <c r="D375" s="32"/>
      <c r="E375" s="35" t="s">
        <v>4233</v>
      </c>
    </row>
    <row r="376" spans="1:5" x14ac:dyDescent="0.2">
      <c r="A376" s="34" t="str">
        <f>HYPERLINK("http://www.daganm.co.il/sku/OPT044-15","OPT044-15")</f>
        <v>OPT044-15</v>
      </c>
      <c r="B376" t="s">
        <v>6</v>
      </c>
      <c r="C376" s="2" t="s">
        <v>429</v>
      </c>
      <c r="D376" s="32"/>
      <c r="E376" s="35" t="s">
        <v>1931</v>
      </c>
    </row>
    <row r="377" spans="1:5" x14ac:dyDescent="0.2">
      <c r="A377" s="34" t="str">
        <f>HYPERLINK("http://www.daganm.co.il/sku/OPT054-1","OPT054-1")</f>
        <v>OPT054-1</v>
      </c>
      <c r="B377" t="s">
        <v>6</v>
      </c>
      <c r="C377" s="2" t="s">
        <v>430</v>
      </c>
      <c r="D377" s="32"/>
      <c r="E377" s="35" t="s">
        <v>1932</v>
      </c>
    </row>
    <row r="378" spans="1:5" x14ac:dyDescent="0.2">
      <c r="A378" s="34" t="str">
        <f>HYPERLINK("http://www.daganm.co.il/sku/OPT054-1.5","OPT054-1.5")</f>
        <v>OPT054-1.5</v>
      </c>
      <c r="B378" t="s">
        <v>6</v>
      </c>
      <c r="C378" s="2" t="s">
        <v>431</v>
      </c>
      <c r="D378" s="32"/>
      <c r="E378" s="35" t="s">
        <v>1933</v>
      </c>
    </row>
    <row r="379" spans="1:5" x14ac:dyDescent="0.2">
      <c r="A379" s="34" t="str">
        <f>HYPERLINK("http://www.daganm.co.il/sku/OPT054-2","OPT054-2")</f>
        <v>OPT054-2</v>
      </c>
      <c r="B379" t="s">
        <v>6</v>
      </c>
      <c r="C379" s="2" t="s">
        <v>432</v>
      </c>
      <c r="D379" s="32"/>
      <c r="E379" s="35" t="s">
        <v>1934</v>
      </c>
    </row>
    <row r="380" spans="1:5" x14ac:dyDescent="0.2">
      <c r="A380" s="34" t="str">
        <f>HYPERLINK("http://www.daganm.co.il/sku/OPT054-3","OPT054-3")</f>
        <v>OPT054-3</v>
      </c>
      <c r="B380" t="s">
        <v>6</v>
      </c>
      <c r="C380" s="2" t="s">
        <v>433</v>
      </c>
      <c r="D380" s="32"/>
      <c r="E380" s="35" t="s">
        <v>1935</v>
      </c>
    </row>
    <row r="381" spans="1:5" x14ac:dyDescent="0.2">
      <c r="A381" s="34" t="str">
        <f>HYPERLINK("http://www.daganm.co.il/sku/OPT054-5","OPT054-5")</f>
        <v>OPT054-5</v>
      </c>
      <c r="B381" t="s">
        <v>6</v>
      </c>
      <c r="C381" s="2" t="s">
        <v>434</v>
      </c>
      <c r="D381" s="32"/>
      <c r="E381" s="35" t="s">
        <v>1936</v>
      </c>
    </row>
    <row r="382" spans="1:5" x14ac:dyDescent="0.2">
      <c r="A382" s="34" t="str">
        <f>HYPERLINK("http://www.daganm.co.il/sku/OPT054-7","OPT054-7")</f>
        <v>OPT054-7</v>
      </c>
      <c r="B382" t="s">
        <v>6</v>
      </c>
      <c r="C382" s="2" t="s">
        <v>435</v>
      </c>
      <c r="D382" s="32"/>
      <c r="E382" s="32" t="s">
        <v>1937</v>
      </c>
    </row>
    <row r="383" spans="1:5" x14ac:dyDescent="0.2">
      <c r="A383" s="34" t="str">
        <f>HYPERLINK("http://www.daganm.co.il/sku/OPT054-10","OPT054-10")</f>
        <v>OPT054-10</v>
      </c>
      <c r="B383" t="s">
        <v>6</v>
      </c>
      <c r="C383" s="2" t="s">
        <v>436</v>
      </c>
      <c r="D383" s="32"/>
      <c r="E383" s="35" t="s">
        <v>1938</v>
      </c>
    </row>
    <row r="384" spans="1:5" x14ac:dyDescent="0.2">
      <c r="A384" s="34" t="str">
        <f>HYPERLINK("http://www.daganm.co.il/sku/OPT054-15","OPT054-15")</f>
        <v>OPT054-15</v>
      </c>
      <c r="B384" t="s">
        <v>6</v>
      </c>
      <c r="C384" s="2" t="s">
        <v>437</v>
      </c>
      <c r="D384" s="32"/>
      <c r="E384" s="35" t="s">
        <v>1939</v>
      </c>
    </row>
    <row r="385" spans="1:5" x14ac:dyDescent="0.2">
      <c r="A385" s="34" t="str">
        <f>HYPERLINK("http://www.daganm.co.il/sku/OPT074-1","OPT074-1")</f>
        <v>OPT074-1</v>
      </c>
      <c r="B385" t="s">
        <v>6</v>
      </c>
      <c r="C385" s="2" t="s">
        <v>3720</v>
      </c>
      <c r="D385" s="32"/>
      <c r="E385" s="35" t="s">
        <v>3972</v>
      </c>
    </row>
    <row r="386" spans="1:5" x14ac:dyDescent="0.2">
      <c r="A386" s="34" t="str">
        <f>HYPERLINK("http://www.daganm.co.il/sku/OPT013-1","OPT013-1")</f>
        <v>OPT013-1</v>
      </c>
      <c r="B386" t="s">
        <v>6</v>
      </c>
      <c r="C386" s="2" t="s">
        <v>438</v>
      </c>
      <c r="D386" s="32"/>
      <c r="E386" s="35" t="s">
        <v>1940</v>
      </c>
    </row>
    <row r="387" spans="1:5" x14ac:dyDescent="0.2">
      <c r="A387" s="34" t="str">
        <f>HYPERLINK("http://www.daganm.co.il/sku/OPT013-2","OPT013-2")</f>
        <v>OPT013-2</v>
      </c>
      <c r="B387" t="s">
        <v>6</v>
      </c>
      <c r="C387" s="2" t="s">
        <v>439</v>
      </c>
      <c r="D387" s="32"/>
      <c r="E387" s="35" t="s">
        <v>1941</v>
      </c>
    </row>
    <row r="388" spans="1:5" x14ac:dyDescent="0.2">
      <c r="A388" s="34" t="str">
        <f>HYPERLINK("http://www.daganm.co.il/sku/OPT013-3","OPT013-3")</f>
        <v>OPT013-3</v>
      </c>
      <c r="B388" t="s">
        <v>6</v>
      </c>
      <c r="C388" s="2" t="s">
        <v>440</v>
      </c>
      <c r="D388" s="32"/>
      <c r="E388" s="35" t="s">
        <v>1942</v>
      </c>
    </row>
    <row r="389" spans="1:5" x14ac:dyDescent="0.2">
      <c r="A389" s="34" t="str">
        <f>HYPERLINK("http://www.daganm.co.il/sku/OPT033-1","OPT033-1")</f>
        <v>OPT033-1</v>
      </c>
      <c r="B389" t="s">
        <v>6</v>
      </c>
      <c r="C389" s="2" t="s">
        <v>441</v>
      </c>
      <c r="D389" s="32"/>
      <c r="E389" s="35" t="s">
        <v>1943</v>
      </c>
    </row>
    <row r="390" spans="1:5" x14ac:dyDescent="0.2">
      <c r="A390" s="34" t="str">
        <f>HYPERLINK("http://www.daganm.co.il/sku/OPT033-2","OPT033-2")</f>
        <v>OPT033-2</v>
      </c>
      <c r="B390" t="s">
        <v>6</v>
      </c>
      <c r="C390" s="2" t="s">
        <v>442</v>
      </c>
      <c r="D390" s="32"/>
      <c r="E390" s="35" t="s">
        <v>1944</v>
      </c>
    </row>
    <row r="391" spans="1:5" x14ac:dyDescent="0.2">
      <c r="A391" s="34" t="str">
        <f>HYPERLINK("http://www.daganm.co.il/sku/OPT033-3","OPT033-3")</f>
        <v>OPT033-3</v>
      </c>
      <c r="B391" t="s">
        <v>6</v>
      </c>
      <c r="C391" s="2" t="s">
        <v>443</v>
      </c>
      <c r="D391" s="32"/>
      <c r="E391" s="35" t="s">
        <v>1945</v>
      </c>
    </row>
    <row r="392" spans="1:5" x14ac:dyDescent="0.2">
      <c r="A392" s="34" t="str">
        <f>HYPERLINK("http://www.daganm.co.il/sku/OPT043-1","OPT043-1")</f>
        <v>OPT043-1</v>
      </c>
      <c r="B392" t="s">
        <v>6</v>
      </c>
      <c r="C392" s="2" t="s">
        <v>444</v>
      </c>
      <c r="D392" s="32"/>
      <c r="E392" s="35" t="s">
        <v>1946</v>
      </c>
    </row>
    <row r="393" spans="1:5" x14ac:dyDescent="0.2">
      <c r="A393" s="34" t="str">
        <f>HYPERLINK("http://www.daganm.co.il/sku/OPT043-2","OPT043-2")</f>
        <v>OPT043-2</v>
      </c>
      <c r="B393" t="s">
        <v>6</v>
      </c>
      <c r="C393" s="2" t="s">
        <v>445</v>
      </c>
      <c r="D393" s="32"/>
      <c r="E393" s="35" t="s">
        <v>1947</v>
      </c>
    </row>
    <row r="394" spans="1:5" x14ac:dyDescent="0.2">
      <c r="A394" s="34" t="str">
        <f>HYPERLINK("http://www.daganm.co.il/sku/OPT043-3","OPT043-3")</f>
        <v>OPT043-3</v>
      </c>
      <c r="B394" t="s">
        <v>6</v>
      </c>
      <c r="C394" s="2" t="s">
        <v>446</v>
      </c>
      <c r="D394" s="32"/>
      <c r="E394" s="35" t="s">
        <v>1948</v>
      </c>
    </row>
    <row r="395" spans="1:5" x14ac:dyDescent="0.2">
      <c r="B395"/>
      <c r="C395" s="33" t="s">
        <v>3239</v>
      </c>
      <c r="D395" s="32"/>
      <c r="E395" s="35"/>
    </row>
    <row r="396" spans="1:5" x14ac:dyDescent="0.2">
      <c r="A396" s="34" t="str">
        <f>HYPERLINK("http://www.daganm.co.il/sku/OPT013AA-1","OPT013AA-1")</f>
        <v>OPT013AA-1</v>
      </c>
      <c r="B396" t="s">
        <v>6</v>
      </c>
      <c r="C396" s="2" t="s">
        <v>3240</v>
      </c>
      <c r="D396" s="32"/>
      <c r="E396" s="35" t="s">
        <v>3380</v>
      </c>
    </row>
    <row r="397" spans="1:5" x14ac:dyDescent="0.2">
      <c r="A397" s="34" t="str">
        <f>HYPERLINK("http://www.daganm.co.il/sku/OPT013AA-2","OPT013AA-2")</f>
        <v>OPT013AA-2</v>
      </c>
      <c r="B397" t="s">
        <v>6</v>
      </c>
      <c r="C397" s="2" t="s">
        <v>3241</v>
      </c>
      <c r="D397" s="32"/>
      <c r="E397" s="35" t="s">
        <v>3381</v>
      </c>
    </row>
    <row r="398" spans="1:5" x14ac:dyDescent="0.2">
      <c r="A398" s="34" t="str">
        <f>HYPERLINK("http://www.daganm.co.il/sku/OPT013AU-1","OPT013AU-1")</f>
        <v>OPT013AU-1</v>
      </c>
      <c r="B398" t="s">
        <v>6</v>
      </c>
      <c r="C398" s="2" t="s">
        <v>3242</v>
      </c>
      <c r="D398" s="32">
        <v>45442</v>
      </c>
      <c r="E398" s="35" t="s">
        <v>3382</v>
      </c>
    </row>
    <row r="399" spans="1:5" x14ac:dyDescent="0.2">
      <c r="A399" s="34" t="str">
        <f>HYPERLINK("http://www.daganm.co.il/sku/OPT013AU-2","OPT013AU-2")</f>
        <v>OPT013AU-2</v>
      </c>
      <c r="B399" t="s">
        <v>6</v>
      </c>
      <c r="C399" s="2" t="s">
        <v>3243</v>
      </c>
      <c r="D399" s="32"/>
      <c r="E399" s="35" t="s">
        <v>3383</v>
      </c>
    </row>
    <row r="400" spans="1:5" x14ac:dyDescent="0.2">
      <c r="A400" s="34" t="str">
        <f>HYPERLINK("http://www.daganm.co.il/sku/OPT014AA-1","OPT014AA-1")</f>
        <v>OPT014AA-1</v>
      </c>
      <c r="B400" t="s">
        <v>6</v>
      </c>
      <c r="C400" s="2" t="s">
        <v>3244</v>
      </c>
      <c r="D400" s="32"/>
      <c r="E400" s="35" t="s">
        <v>3384</v>
      </c>
    </row>
    <row r="401" spans="1:5" x14ac:dyDescent="0.2">
      <c r="A401" s="34" t="str">
        <f>HYPERLINK("http://www.daganm.co.il/sku/OPT014AA-2","OPT014AA-2")</f>
        <v>OPT014AA-2</v>
      </c>
      <c r="B401" t="s">
        <v>6</v>
      </c>
      <c r="C401" s="2" t="s">
        <v>3245</v>
      </c>
      <c r="D401" s="32"/>
      <c r="E401" s="35" t="s">
        <v>3385</v>
      </c>
    </row>
    <row r="402" spans="1:5" x14ac:dyDescent="0.2">
      <c r="A402" s="34" t="str">
        <f>HYPERLINK("http://www.daganm.co.il/sku/OPT014AU-1","OPT014AU-1")</f>
        <v>OPT014AU-1</v>
      </c>
      <c r="B402" t="s">
        <v>6</v>
      </c>
      <c r="C402" s="2" t="s">
        <v>3246</v>
      </c>
      <c r="D402" s="32"/>
      <c r="E402" s="35" t="s">
        <v>3386</v>
      </c>
    </row>
    <row r="403" spans="1:5" x14ac:dyDescent="0.2">
      <c r="A403" s="34" t="str">
        <f>HYPERLINK("http://www.daganm.co.il/sku/OPT014AU-2","OPT014AU-2")</f>
        <v>OPT014AU-2</v>
      </c>
      <c r="B403" t="s">
        <v>6</v>
      </c>
      <c r="C403" s="2" t="s">
        <v>3247</v>
      </c>
      <c r="D403" s="32"/>
      <c r="E403" s="35" t="s">
        <v>3387</v>
      </c>
    </row>
    <row r="404" spans="1:5" x14ac:dyDescent="0.2">
      <c r="A404" s="34" t="str">
        <f>HYPERLINK("http://www.daganm.co.il/sku/OPT023AA-1","OPT023AA-1")</f>
        <v>OPT023AA-1</v>
      </c>
      <c r="B404" t="s">
        <v>6</v>
      </c>
      <c r="C404" s="2" t="s">
        <v>3248</v>
      </c>
      <c r="D404" s="32"/>
      <c r="E404" s="35" t="s">
        <v>3388</v>
      </c>
    </row>
    <row r="405" spans="1:5" x14ac:dyDescent="0.2">
      <c r="A405" s="34" t="str">
        <f>HYPERLINK("http://www.daganm.co.il/sku/OPT023AA-2","OPT023AA-2")</f>
        <v>OPT023AA-2</v>
      </c>
      <c r="B405" t="s">
        <v>6</v>
      </c>
      <c r="C405" s="2" t="s">
        <v>3249</v>
      </c>
      <c r="D405" s="32"/>
      <c r="E405" s="35" t="s">
        <v>3389</v>
      </c>
    </row>
    <row r="406" spans="1:5" x14ac:dyDescent="0.2">
      <c r="A406" s="34" t="str">
        <f>HYPERLINK("http://www.daganm.co.il/sku/OPT023UA-1","OPT023UA-1")</f>
        <v>OPT023UA-1</v>
      </c>
      <c r="B406" t="s">
        <v>6</v>
      </c>
      <c r="C406" s="2" t="s">
        <v>3250</v>
      </c>
      <c r="D406" s="32"/>
      <c r="E406" s="35" t="s">
        <v>3390</v>
      </c>
    </row>
    <row r="407" spans="1:5" x14ac:dyDescent="0.2">
      <c r="A407" s="34" t="str">
        <f>HYPERLINK("http://www.daganm.co.il/sku/OPT023UA-2","OPT023UA-2")</f>
        <v>OPT023UA-2</v>
      </c>
      <c r="B407" t="s">
        <v>6</v>
      </c>
      <c r="C407" s="2" t="s">
        <v>3251</v>
      </c>
      <c r="D407" s="32"/>
      <c r="E407" s="35" t="s">
        <v>3391</v>
      </c>
    </row>
    <row r="408" spans="1:5" x14ac:dyDescent="0.2">
      <c r="A408" s="34" t="str">
        <f>HYPERLINK("http://www.daganm.co.il/sku/OPT023AU-1","OPT023AU-1")</f>
        <v>OPT023AU-1</v>
      </c>
      <c r="B408" t="s">
        <v>6</v>
      </c>
      <c r="C408" s="2" t="s">
        <v>3721</v>
      </c>
      <c r="D408" s="36"/>
      <c r="E408" s="35" t="s">
        <v>3973</v>
      </c>
    </row>
    <row r="409" spans="1:5" x14ac:dyDescent="0.2">
      <c r="A409" s="34" t="str">
        <f>HYPERLINK("http://www.daganm.co.il/sku/OPT023AU-2","OPT023AU-2")</f>
        <v>OPT023AU-2</v>
      </c>
      <c r="B409" t="s">
        <v>6</v>
      </c>
      <c r="C409" s="2" t="s">
        <v>3722</v>
      </c>
      <c r="D409" s="32"/>
      <c r="E409" s="35" t="s">
        <v>3974</v>
      </c>
    </row>
    <row r="410" spans="1:5" x14ac:dyDescent="0.2">
      <c r="A410" s="34" t="str">
        <f>HYPERLINK("http://www.daganm.co.il/sku/OPT024AA-1","OPT024AA-1")</f>
        <v>OPT024AA-1</v>
      </c>
      <c r="B410" t="s">
        <v>6</v>
      </c>
      <c r="C410" s="2" t="s">
        <v>3252</v>
      </c>
      <c r="D410" s="32"/>
      <c r="E410" s="35" t="s">
        <v>3392</v>
      </c>
    </row>
    <row r="411" spans="1:5" x14ac:dyDescent="0.2">
      <c r="A411" s="34" t="str">
        <f>HYPERLINK("http://www.daganm.co.il/sku/OPT024AA-2","OPT024AA-2")</f>
        <v>OPT024AA-2</v>
      </c>
      <c r="B411" t="s">
        <v>6</v>
      </c>
      <c r="C411" s="2" t="s">
        <v>3253</v>
      </c>
      <c r="D411" s="32"/>
      <c r="E411" s="32" t="s">
        <v>3393</v>
      </c>
    </row>
    <row r="412" spans="1:5" x14ac:dyDescent="0.2">
      <c r="A412" s="34" t="str">
        <f>HYPERLINK("http://www.daganm.co.il/sku/OPT024AU-1","OPT024AU-1")</f>
        <v>OPT024AU-1</v>
      </c>
      <c r="B412" t="s">
        <v>6</v>
      </c>
      <c r="C412" s="2" t="s">
        <v>3254</v>
      </c>
      <c r="D412" s="36"/>
      <c r="E412" s="35" t="s">
        <v>3394</v>
      </c>
    </row>
    <row r="413" spans="1:5" x14ac:dyDescent="0.2">
      <c r="A413" s="34" t="str">
        <f>HYPERLINK("http://www.daganm.co.il/sku/OPT024AU-2","OPT024AU-2")</f>
        <v>OPT024AU-2</v>
      </c>
      <c r="B413" t="s">
        <v>6</v>
      </c>
      <c r="C413" s="2" t="s">
        <v>3255</v>
      </c>
      <c r="D413" s="36"/>
      <c r="E413" s="35" t="s">
        <v>3395</v>
      </c>
    </row>
    <row r="414" spans="1:5" x14ac:dyDescent="0.2">
      <c r="A414" s="34" t="str">
        <f>HYPERLINK("http://www.daganm.co.il/sku/OPT024UA-1","OPT024UA-1")</f>
        <v>OPT024UA-1</v>
      </c>
      <c r="B414" t="s">
        <v>6</v>
      </c>
      <c r="C414" s="2" t="s">
        <v>3256</v>
      </c>
      <c r="D414" s="36"/>
      <c r="E414" s="35" t="s">
        <v>3396</v>
      </c>
    </row>
    <row r="415" spans="1:5" x14ac:dyDescent="0.2">
      <c r="A415" s="34" t="str">
        <f>HYPERLINK("http://www.daganm.co.il/sku/OPT024UA-2","OPT024UA-2")</f>
        <v>OPT024UA-2</v>
      </c>
      <c r="B415" t="s">
        <v>6</v>
      </c>
      <c r="C415" s="2" t="s">
        <v>3257</v>
      </c>
      <c r="D415" s="36"/>
      <c r="E415" s="35" t="s">
        <v>3397</v>
      </c>
    </row>
    <row r="416" spans="1:5" x14ac:dyDescent="0.2">
      <c r="A416" s="34" t="str">
        <f>HYPERLINK("http://www.daganm.co.il/sku/OPT033AA-1","OPT033AA-1")</f>
        <v>OPT033AA-1</v>
      </c>
      <c r="B416" t="s">
        <v>6</v>
      </c>
      <c r="C416" s="2" t="s">
        <v>3258</v>
      </c>
      <c r="D416" s="32"/>
      <c r="E416" s="35" t="s">
        <v>3398</v>
      </c>
    </row>
    <row r="417" spans="1:5" x14ac:dyDescent="0.2">
      <c r="A417" s="34" t="str">
        <f>HYPERLINK("http://www.daganm.co.il/sku/OPT033AA-2","OPT033AA-2")</f>
        <v>OPT033AA-2</v>
      </c>
      <c r="B417" t="s">
        <v>6</v>
      </c>
      <c r="C417" s="2" t="s">
        <v>3259</v>
      </c>
      <c r="D417" s="32"/>
      <c r="E417" s="35" t="s">
        <v>3399</v>
      </c>
    </row>
    <row r="418" spans="1:5" x14ac:dyDescent="0.2">
      <c r="A418" s="34" t="str">
        <f>HYPERLINK("http://www.daganm.co.il/sku/OPT033AU-1","OPT033AU-1")</f>
        <v>OPT033AU-1</v>
      </c>
      <c r="B418" t="s">
        <v>6</v>
      </c>
      <c r="C418" s="2" t="s">
        <v>3260</v>
      </c>
      <c r="D418" s="32"/>
      <c r="E418" s="35" t="s">
        <v>3400</v>
      </c>
    </row>
    <row r="419" spans="1:5" x14ac:dyDescent="0.2">
      <c r="A419" s="34" t="str">
        <f>HYPERLINK("http://www.daganm.co.il/sku/OPT033AU-2","OPT033AU-2")</f>
        <v>OPT033AU-2</v>
      </c>
      <c r="B419" t="s">
        <v>6</v>
      </c>
      <c r="C419" s="2" t="s">
        <v>3261</v>
      </c>
      <c r="D419" s="32"/>
      <c r="E419" s="35" t="s">
        <v>3401</v>
      </c>
    </row>
    <row r="420" spans="1:5" x14ac:dyDescent="0.2">
      <c r="A420" s="34" t="str">
        <f>HYPERLINK("http://www.daganm.co.il/sku/OPT034AA-1","OPT034AA-1")</f>
        <v>OPT034AA-1</v>
      </c>
      <c r="B420" t="s">
        <v>6</v>
      </c>
      <c r="C420" s="2" t="s">
        <v>3262</v>
      </c>
      <c r="D420" s="32"/>
      <c r="E420" s="32" t="s">
        <v>3402</v>
      </c>
    </row>
    <row r="421" spans="1:5" x14ac:dyDescent="0.2">
      <c r="A421" s="34" t="str">
        <f>HYPERLINK("http://www.daganm.co.il/sku/OPT034AA-2","OPT034AA-2")</f>
        <v>OPT034AA-2</v>
      </c>
      <c r="B421" t="s">
        <v>6</v>
      </c>
      <c r="C421" s="2" t="s">
        <v>3263</v>
      </c>
      <c r="D421" s="32"/>
      <c r="E421" s="35" t="s">
        <v>3403</v>
      </c>
    </row>
    <row r="422" spans="1:5" x14ac:dyDescent="0.2">
      <c r="A422" s="34" t="str">
        <f>HYPERLINK("http://www.daganm.co.il/sku/OPT034AU-1","OPT034AU-1")</f>
        <v>OPT034AU-1</v>
      </c>
      <c r="B422" t="s">
        <v>6</v>
      </c>
      <c r="C422" s="2" t="s">
        <v>3264</v>
      </c>
      <c r="D422" s="32"/>
      <c r="E422" s="35" t="s">
        <v>3404</v>
      </c>
    </row>
    <row r="423" spans="1:5" x14ac:dyDescent="0.2">
      <c r="A423" s="34" t="str">
        <f>HYPERLINK("http://www.daganm.co.il/sku/OPT034AU-2","OPT034AU-2")</f>
        <v>OPT034AU-2</v>
      </c>
      <c r="B423" t="s">
        <v>6</v>
      </c>
      <c r="C423" s="2" t="s">
        <v>3265</v>
      </c>
      <c r="D423" s="32"/>
      <c r="E423" s="35" t="s">
        <v>3405</v>
      </c>
    </row>
    <row r="424" spans="1:5" x14ac:dyDescent="0.2">
      <c r="B424"/>
      <c r="C424" s="33" t="s">
        <v>3509</v>
      </c>
      <c r="D424" s="32"/>
      <c r="E424" s="35"/>
    </row>
    <row r="425" spans="1:5" x14ac:dyDescent="0.2">
      <c r="A425" s="34" t="str">
        <f>HYPERLINK("http://www.daganm.co.il/sku/OPT013AAD-10","OPT013AAD-10")</f>
        <v>OPT013AAD-10</v>
      </c>
      <c r="B425" t="s">
        <v>6</v>
      </c>
      <c r="C425" s="2" t="s">
        <v>3510</v>
      </c>
      <c r="D425" s="32"/>
      <c r="E425" s="35" t="s">
        <v>3611</v>
      </c>
    </row>
    <row r="426" spans="1:5" x14ac:dyDescent="0.2">
      <c r="A426" s="34" t="str">
        <f>HYPERLINK("http://www.daganm.co.il/sku/OPT013AAD-20","OPT013AAD-20")</f>
        <v>OPT013AAD-20</v>
      </c>
      <c r="B426" t="s">
        <v>6</v>
      </c>
      <c r="C426" s="2" t="s">
        <v>3511</v>
      </c>
      <c r="D426" s="32"/>
      <c r="E426" s="35" t="s">
        <v>3612</v>
      </c>
    </row>
    <row r="427" spans="1:5" x14ac:dyDescent="0.2">
      <c r="A427" s="34" t="str">
        <f>HYPERLINK("http://www.daganm.co.il/sku/OPT013AAD-30","OPT013AAD-30")</f>
        <v>OPT013AAD-30</v>
      </c>
      <c r="B427" t="s">
        <v>6</v>
      </c>
      <c r="C427" s="2" t="s">
        <v>3512</v>
      </c>
      <c r="D427" s="32"/>
      <c r="E427" s="35" t="s">
        <v>3613</v>
      </c>
    </row>
    <row r="428" spans="1:5" x14ac:dyDescent="0.2">
      <c r="A428" s="34" t="str">
        <f>HYPERLINK("http://www.daganm.co.il/sku/OPT013AAD-50","OPT013AAD-50")</f>
        <v>OPT013AAD-50</v>
      </c>
      <c r="B428" t="s">
        <v>6</v>
      </c>
      <c r="C428" s="2" t="s">
        <v>3513</v>
      </c>
      <c r="D428" s="32"/>
      <c r="E428" s="35" t="s">
        <v>3614</v>
      </c>
    </row>
    <row r="429" spans="1:5" x14ac:dyDescent="0.2">
      <c r="A429" s="34" t="str">
        <f>HYPERLINK("http://www.daganm.co.il/sku/OPT023AAD-10","OPT023AAD-10")</f>
        <v>OPT023AAD-10</v>
      </c>
      <c r="B429" t="s">
        <v>6</v>
      </c>
      <c r="C429" s="2" t="s">
        <v>3514</v>
      </c>
      <c r="D429" s="32"/>
      <c r="E429" s="35" t="s">
        <v>3615</v>
      </c>
    </row>
    <row r="430" spans="1:5" x14ac:dyDescent="0.2">
      <c r="A430" s="34" t="str">
        <f>HYPERLINK("http://www.daganm.co.il/sku/OPT023AAD-20","OPT023AAD-20")</f>
        <v>OPT023AAD-20</v>
      </c>
      <c r="B430" t="s">
        <v>6</v>
      </c>
      <c r="C430" s="2" t="s">
        <v>3515</v>
      </c>
      <c r="D430" s="32"/>
      <c r="E430" s="35" t="s">
        <v>3616</v>
      </c>
    </row>
    <row r="431" spans="1:5" x14ac:dyDescent="0.2">
      <c r="A431" s="34" t="str">
        <f>HYPERLINK("http://www.daganm.co.il/sku/OPT023AAD-30","OPT023AAD-30")</f>
        <v>OPT023AAD-30</v>
      </c>
      <c r="B431" t="s">
        <v>6</v>
      </c>
      <c r="C431" s="2" t="s">
        <v>3516</v>
      </c>
      <c r="D431" s="32"/>
      <c r="E431" s="35" t="s">
        <v>3617</v>
      </c>
    </row>
    <row r="432" spans="1:5" x14ac:dyDescent="0.2">
      <c r="A432" s="34" t="str">
        <f>HYPERLINK("http://www.daganm.co.il/sku/OPT023AAD-50","OPT023AAD-50")</f>
        <v>OPT023AAD-50</v>
      </c>
      <c r="B432" t="s">
        <v>6</v>
      </c>
      <c r="C432" s="2" t="s">
        <v>3517</v>
      </c>
      <c r="D432" s="32">
        <v>45442</v>
      </c>
      <c r="E432" s="35" t="s">
        <v>3618</v>
      </c>
    </row>
    <row r="433" spans="1:5" x14ac:dyDescent="0.2">
      <c r="B433"/>
      <c r="C433" s="33" t="s">
        <v>15</v>
      </c>
      <c r="D433" s="32"/>
      <c r="E433" s="35"/>
    </row>
    <row r="434" spans="1:5" x14ac:dyDescent="0.2">
      <c r="A434" s="34" t="str">
        <f>HYPERLINK("http://www.daganm.co.il/sku/OPT010-0.25","OPT010-0.25")</f>
        <v>OPT010-0.25</v>
      </c>
      <c r="B434" t="s">
        <v>6</v>
      </c>
      <c r="C434" s="2" t="s">
        <v>3266</v>
      </c>
      <c r="D434" s="32"/>
      <c r="E434" s="35" t="s">
        <v>3406</v>
      </c>
    </row>
    <row r="435" spans="1:5" x14ac:dyDescent="0.2">
      <c r="A435" s="34" t="str">
        <f>HYPERLINK("http://www.daganm.co.il/sku/OPT010-0.5","OPT010-0.5")</f>
        <v>OPT010-0.5</v>
      </c>
      <c r="B435" t="s">
        <v>6</v>
      </c>
      <c r="C435" s="2" t="s">
        <v>447</v>
      </c>
      <c r="D435" s="32"/>
      <c r="E435" s="35" t="s">
        <v>1949</v>
      </c>
    </row>
    <row r="436" spans="1:5" x14ac:dyDescent="0.2">
      <c r="A436" s="34" t="str">
        <f>HYPERLINK("http://www.daganm.co.il/sku/OPT010-1","OPT010-1")</f>
        <v>OPT010-1</v>
      </c>
      <c r="B436" t="s">
        <v>6</v>
      </c>
      <c r="C436" s="2" t="s">
        <v>448</v>
      </c>
      <c r="D436" s="32"/>
      <c r="E436" s="35" t="s">
        <v>1950</v>
      </c>
    </row>
    <row r="437" spans="1:5" x14ac:dyDescent="0.2">
      <c r="A437" s="34" t="str">
        <f>HYPERLINK("http://www.daganm.co.il/sku/OPT010-1.5","OPT010-1.5")</f>
        <v>OPT010-1.5</v>
      </c>
      <c r="B437" t="s">
        <v>6</v>
      </c>
      <c r="C437" s="2" t="s">
        <v>449</v>
      </c>
      <c r="D437" s="32"/>
      <c r="E437" s="35" t="s">
        <v>1951</v>
      </c>
    </row>
    <row r="438" spans="1:5" x14ac:dyDescent="0.2">
      <c r="A438" s="34" t="str">
        <f>HYPERLINK("http://www.daganm.co.il/sku/OPT010-2","OPT010-2")</f>
        <v>OPT010-2</v>
      </c>
      <c r="B438" t="s">
        <v>6</v>
      </c>
      <c r="C438" s="2" t="s">
        <v>450</v>
      </c>
      <c r="D438" s="32"/>
      <c r="E438" s="35" t="s">
        <v>1952</v>
      </c>
    </row>
    <row r="439" spans="1:5" x14ac:dyDescent="0.2">
      <c r="A439" s="34" t="str">
        <f>HYPERLINK("http://www.daganm.co.il/sku/OPT010-3","OPT010-3")</f>
        <v>OPT010-3</v>
      </c>
      <c r="B439" t="s">
        <v>6</v>
      </c>
      <c r="C439" s="2" t="s">
        <v>451</v>
      </c>
      <c r="D439" s="32"/>
      <c r="E439" s="35" t="s">
        <v>1953</v>
      </c>
    </row>
    <row r="440" spans="1:5" x14ac:dyDescent="0.2">
      <c r="A440" s="34" t="str">
        <f>HYPERLINK("http://www.daganm.co.il/sku/OPT010-5","OPT010-5")</f>
        <v>OPT010-5</v>
      </c>
      <c r="B440" t="s">
        <v>6</v>
      </c>
      <c r="C440" s="2" t="s">
        <v>452</v>
      </c>
      <c r="D440" s="32"/>
      <c r="E440" s="35" t="s">
        <v>1954</v>
      </c>
    </row>
    <row r="441" spans="1:5" x14ac:dyDescent="0.2">
      <c r="A441" s="34" t="str">
        <f>HYPERLINK("http://www.daganm.co.il/sku/OPT010-7","OPT010-7")</f>
        <v>OPT010-7</v>
      </c>
      <c r="B441" t="s">
        <v>6</v>
      </c>
      <c r="C441" s="2" t="s">
        <v>453</v>
      </c>
      <c r="D441" s="32"/>
      <c r="E441" s="35" t="s">
        <v>1955</v>
      </c>
    </row>
    <row r="442" spans="1:5" x14ac:dyDescent="0.2">
      <c r="A442" s="34" t="str">
        <f>HYPERLINK("http://www.daganm.co.il/sku/OPT010-10","OPT010-10")</f>
        <v>OPT010-10</v>
      </c>
      <c r="B442" t="s">
        <v>6</v>
      </c>
      <c r="C442" s="2" t="s">
        <v>454</v>
      </c>
      <c r="D442" s="32"/>
      <c r="E442" s="35" t="s">
        <v>1956</v>
      </c>
    </row>
    <row r="443" spans="1:5" x14ac:dyDescent="0.2">
      <c r="A443" s="34" t="str">
        <f>HYPERLINK("http://www.daganm.co.il/sku/OPT010-15","OPT010-15")</f>
        <v>OPT010-15</v>
      </c>
      <c r="B443" t="s">
        <v>6</v>
      </c>
      <c r="C443" s="2" t="s">
        <v>455</v>
      </c>
      <c r="D443" s="32"/>
      <c r="E443" s="35" t="s">
        <v>1957</v>
      </c>
    </row>
    <row r="444" spans="1:5" x14ac:dyDescent="0.2">
      <c r="A444" s="34" t="str">
        <f>HYPERLINK("http://www.daganm.co.il/sku/OPT010-20","OPT010-20")</f>
        <v>OPT010-20</v>
      </c>
      <c r="B444" t="s">
        <v>6</v>
      </c>
      <c r="C444" s="2" t="s">
        <v>456</v>
      </c>
      <c r="D444" s="36"/>
      <c r="E444" s="35" t="s">
        <v>1958</v>
      </c>
    </row>
    <row r="445" spans="1:5" x14ac:dyDescent="0.2">
      <c r="A445" s="34" t="str">
        <f>HYPERLINK("http://www.daganm.co.il/sku/OPT010-25","OPT010-25")</f>
        <v>OPT010-25</v>
      </c>
      <c r="B445" t="s">
        <v>6</v>
      </c>
      <c r="C445" s="2" t="s">
        <v>457</v>
      </c>
      <c r="D445" s="32"/>
      <c r="E445" s="35" t="s">
        <v>1959</v>
      </c>
    </row>
    <row r="446" spans="1:5" x14ac:dyDescent="0.2">
      <c r="A446" s="34" t="str">
        <f>HYPERLINK("http://www.daganm.co.il/sku/OPT010-30","OPT010-30")</f>
        <v>OPT010-30</v>
      </c>
      <c r="B446" t="s">
        <v>6</v>
      </c>
      <c r="C446" s="2" t="s">
        <v>458</v>
      </c>
      <c r="D446" s="32"/>
      <c r="E446" s="35" t="s">
        <v>1960</v>
      </c>
    </row>
    <row r="447" spans="1:5" x14ac:dyDescent="0.2">
      <c r="A447" s="34" t="str">
        <f>HYPERLINK("http://www.daganm.co.il/sku/OPT010-40","OPT010-40")</f>
        <v>OPT010-40</v>
      </c>
      <c r="B447" t="s">
        <v>6</v>
      </c>
      <c r="C447" s="2" t="s">
        <v>459</v>
      </c>
      <c r="D447" s="32"/>
      <c r="E447" s="35" t="s">
        <v>1961</v>
      </c>
    </row>
    <row r="448" spans="1:5" x14ac:dyDescent="0.2">
      <c r="A448" s="34" t="str">
        <f>HYPERLINK("http://www.daganm.co.il/sku/OPT010-50","OPT010-50")</f>
        <v>OPT010-50</v>
      </c>
      <c r="B448" t="s">
        <v>6</v>
      </c>
      <c r="C448" s="2" t="s">
        <v>460</v>
      </c>
      <c r="D448" s="32"/>
      <c r="E448" s="35" t="s">
        <v>1962</v>
      </c>
    </row>
    <row r="449" spans="1:5" x14ac:dyDescent="0.2">
      <c r="A449" s="34" t="str">
        <f>HYPERLINK("http://www.daganm.co.il/sku/OPT010-75","OPT010-75")</f>
        <v>OPT010-75</v>
      </c>
      <c r="B449" t="s">
        <v>6</v>
      </c>
      <c r="C449" s="2" t="s">
        <v>461</v>
      </c>
      <c r="D449" s="32"/>
      <c r="E449" s="35" t="s">
        <v>1963</v>
      </c>
    </row>
    <row r="450" spans="1:5" x14ac:dyDescent="0.2">
      <c r="A450" s="34" t="str">
        <f>HYPERLINK("http://www.daganm.co.il/sku/OPT010-100","OPT010-100")</f>
        <v>OPT010-100</v>
      </c>
      <c r="B450" t="s">
        <v>6</v>
      </c>
      <c r="C450" s="2" t="s">
        <v>462</v>
      </c>
      <c r="D450" s="32">
        <v>45448</v>
      </c>
      <c r="E450" s="35" t="s">
        <v>1964</v>
      </c>
    </row>
    <row r="451" spans="1:5" x14ac:dyDescent="0.2">
      <c r="A451" s="34" t="str">
        <f>HYPERLINK("http://www.daganm.co.il/sku/OPT010-150","OPT010-150")</f>
        <v>OPT010-150</v>
      </c>
      <c r="B451" t="s">
        <v>6</v>
      </c>
      <c r="C451" s="2" t="s">
        <v>463</v>
      </c>
      <c r="D451" s="32">
        <v>45442</v>
      </c>
      <c r="E451" s="35" t="s">
        <v>1965</v>
      </c>
    </row>
    <row r="452" spans="1:5" x14ac:dyDescent="0.2">
      <c r="A452" s="34" t="str">
        <f>HYPERLINK("http://www.daganm.co.il/sku/OPT010-200","OPT010-200")</f>
        <v>OPT010-200</v>
      </c>
      <c r="B452" t="s">
        <v>6</v>
      </c>
      <c r="C452" s="2" t="s">
        <v>464</v>
      </c>
      <c r="D452" s="32"/>
      <c r="E452" s="35" t="s">
        <v>1966</v>
      </c>
    </row>
    <row r="453" spans="1:5" x14ac:dyDescent="0.2">
      <c r="A453" s="34" t="str">
        <f>HYPERLINK("http://www.daganm.co.il/sku/OPT010-280","OPT010-280")</f>
        <v>OPT010-280</v>
      </c>
      <c r="B453" t="s">
        <v>6</v>
      </c>
      <c r="C453" s="2" t="s">
        <v>465</v>
      </c>
      <c r="D453" s="32"/>
      <c r="E453" s="35" t="s">
        <v>1967</v>
      </c>
    </row>
    <row r="454" spans="1:5" x14ac:dyDescent="0.2">
      <c r="A454" s="34" t="str">
        <f>HYPERLINK("http://www.daganm.co.il/sku/OPT012-0.5","OPT012-0.5")</f>
        <v>OPT012-0.5</v>
      </c>
      <c r="B454" t="s">
        <v>6</v>
      </c>
      <c r="C454" s="2" t="s">
        <v>466</v>
      </c>
      <c r="D454" s="32"/>
      <c r="E454" s="35" t="s">
        <v>1968</v>
      </c>
    </row>
    <row r="455" spans="1:5" x14ac:dyDescent="0.2">
      <c r="A455" s="34" t="str">
        <f>HYPERLINK("http://www.daganm.co.il/sku/OPT012-1","OPT012-1")</f>
        <v>OPT012-1</v>
      </c>
      <c r="B455" t="s">
        <v>6</v>
      </c>
      <c r="C455" s="2" t="s">
        <v>467</v>
      </c>
      <c r="D455" s="32"/>
      <c r="E455" s="35" t="s">
        <v>1969</v>
      </c>
    </row>
    <row r="456" spans="1:5" x14ac:dyDescent="0.2">
      <c r="A456" s="34" t="str">
        <f>HYPERLINK("http://www.daganm.co.il/sku/OPT012-1.5","OPT012-1.5")</f>
        <v>OPT012-1.5</v>
      </c>
      <c r="B456" t="s">
        <v>6</v>
      </c>
      <c r="C456" s="2" t="s">
        <v>468</v>
      </c>
      <c r="D456" s="32"/>
      <c r="E456" s="35" t="s">
        <v>1970</v>
      </c>
    </row>
    <row r="457" spans="1:5" x14ac:dyDescent="0.2">
      <c r="A457" s="34" t="str">
        <f>HYPERLINK("http://www.daganm.co.il/sku/OPT012-2","OPT012-2")</f>
        <v>OPT012-2</v>
      </c>
      <c r="B457" t="s">
        <v>6</v>
      </c>
      <c r="C457" s="2" t="s">
        <v>469</v>
      </c>
      <c r="D457" s="32"/>
      <c r="E457" s="35" t="s">
        <v>1971</v>
      </c>
    </row>
    <row r="458" spans="1:5" x14ac:dyDescent="0.2">
      <c r="A458" s="34" t="str">
        <f>HYPERLINK("http://www.daganm.co.il/sku/OPT012-3","OPT012-3")</f>
        <v>OPT012-3</v>
      </c>
      <c r="B458" t="s">
        <v>6</v>
      </c>
      <c r="C458" s="2" t="s">
        <v>470</v>
      </c>
      <c r="D458" s="32"/>
      <c r="E458" s="35" t="s">
        <v>1972</v>
      </c>
    </row>
    <row r="459" spans="1:5" x14ac:dyDescent="0.2">
      <c r="A459" s="34" t="str">
        <f>HYPERLINK("http://www.daganm.co.il/sku/OPT012-5","OPT012-5")</f>
        <v>OPT012-5</v>
      </c>
      <c r="B459" t="s">
        <v>6</v>
      </c>
      <c r="C459" s="2" t="s">
        <v>471</v>
      </c>
      <c r="D459" s="32"/>
      <c r="E459" s="35" t="s">
        <v>1973</v>
      </c>
    </row>
    <row r="460" spans="1:5" x14ac:dyDescent="0.2">
      <c r="A460" s="34" t="str">
        <f>HYPERLINK("http://www.daganm.co.il/sku/OPT012-7","OPT012-7")</f>
        <v>OPT012-7</v>
      </c>
      <c r="B460" t="s">
        <v>6</v>
      </c>
      <c r="C460" s="2" t="s">
        <v>472</v>
      </c>
      <c r="D460" s="32"/>
      <c r="E460" s="35" t="s">
        <v>1974</v>
      </c>
    </row>
    <row r="461" spans="1:5" x14ac:dyDescent="0.2">
      <c r="A461" s="34" t="str">
        <f>HYPERLINK("http://www.daganm.co.il/sku/OPT012-10","OPT012-10")</f>
        <v>OPT012-10</v>
      </c>
      <c r="B461" t="s">
        <v>6</v>
      </c>
      <c r="C461" s="2" t="s">
        <v>473</v>
      </c>
      <c r="D461" s="32"/>
      <c r="E461" s="35" t="s">
        <v>1975</v>
      </c>
    </row>
    <row r="462" spans="1:5" x14ac:dyDescent="0.2">
      <c r="A462" s="34" t="str">
        <f>HYPERLINK("http://www.daganm.co.il/sku/OPT012-15","OPT012-15")</f>
        <v>OPT012-15</v>
      </c>
      <c r="B462" t="s">
        <v>6</v>
      </c>
      <c r="C462" s="2" t="s">
        <v>474</v>
      </c>
      <c r="D462" s="32"/>
      <c r="E462" s="35" t="s">
        <v>1976</v>
      </c>
    </row>
    <row r="463" spans="1:5" x14ac:dyDescent="0.2">
      <c r="A463" s="34" t="str">
        <f>HYPERLINK("http://www.daganm.co.il/sku/OPT012-20","OPT012-20")</f>
        <v>OPT012-20</v>
      </c>
      <c r="B463" t="s">
        <v>6</v>
      </c>
      <c r="C463" s="2" t="s">
        <v>475</v>
      </c>
      <c r="D463" s="32"/>
      <c r="E463" s="35" t="s">
        <v>1977</v>
      </c>
    </row>
    <row r="464" spans="1:5" x14ac:dyDescent="0.2">
      <c r="A464" s="37" t="str">
        <f>HYPERLINK("http://www.daganm.co.il/sku/OPT012-25","OPT012-25")</f>
        <v>OPT012-25</v>
      </c>
      <c r="B464" t="s">
        <v>6</v>
      </c>
      <c r="C464" s="2" t="s">
        <v>4087</v>
      </c>
      <c r="D464" s="32"/>
      <c r="E464" s="35" t="s">
        <v>4234</v>
      </c>
    </row>
    <row r="465" spans="1:5" x14ac:dyDescent="0.2">
      <c r="A465" s="34" t="str">
        <f>HYPERLINK("http://www.daganm.co.il/sku/OPT012-30","OPT012-30")</f>
        <v>OPT012-30</v>
      </c>
      <c r="B465" t="s">
        <v>6</v>
      </c>
      <c r="C465" s="2" t="s">
        <v>476</v>
      </c>
      <c r="D465" s="32"/>
      <c r="E465" s="35" t="s">
        <v>1978</v>
      </c>
    </row>
    <row r="466" spans="1:5" x14ac:dyDescent="0.2">
      <c r="A466" s="34" t="str">
        <f>HYPERLINK("http://www.daganm.co.il/sku/OPT012-40","OPT012-40")</f>
        <v>OPT012-40</v>
      </c>
      <c r="B466" t="s">
        <v>6</v>
      </c>
      <c r="C466" s="2" t="s">
        <v>477</v>
      </c>
      <c r="D466" s="32"/>
      <c r="E466" s="35" t="s">
        <v>1979</v>
      </c>
    </row>
    <row r="467" spans="1:5" x14ac:dyDescent="0.2">
      <c r="A467" s="34" t="str">
        <f>HYPERLINK("http://www.daganm.co.il/sku/OPT012-50","OPT012-50")</f>
        <v>OPT012-50</v>
      </c>
      <c r="B467" t="s">
        <v>6</v>
      </c>
      <c r="C467" s="2" t="s">
        <v>478</v>
      </c>
      <c r="D467" s="32"/>
      <c r="E467" s="35" t="s">
        <v>1980</v>
      </c>
    </row>
    <row r="468" spans="1:5" x14ac:dyDescent="0.2">
      <c r="A468" s="34" t="str">
        <f>HYPERLINK("http://www.daganm.co.il/sku/OPT015-0.5","OPT015-0.5")</f>
        <v>OPT015-0.5</v>
      </c>
      <c r="B468" t="s">
        <v>6</v>
      </c>
      <c r="C468" s="2" t="s">
        <v>479</v>
      </c>
      <c r="D468" s="32"/>
      <c r="E468" s="35" t="s">
        <v>1981</v>
      </c>
    </row>
    <row r="469" spans="1:5" x14ac:dyDescent="0.2">
      <c r="A469" s="34" t="str">
        <f>HYPERLINK("http://www.daganm.co.il/sku/OPT015-1","OPT015-1")</f>
        <v>OPT015-1</v>
      </c>
      <c r="B469" t="s">
        <v>6</v>
      </c>
      <c r="C469" s="2" t="s">
        <v>480</v>
      </c>
      <c r="D469" s="32"/>
      <c r="E469" s="35" t="s">
        <v>1982</v>
      </c>
    </row>
    <row r="470" spans="1:5" x14ac:dyDescent="0.2">
      <c r="A470" s="34" t="str">
        <f>HYPERLINK("http://www.daganm.co.il/sku/OPT015-1.5","OPT015-1.5")</f>
        <v>OPT015-1.5</v>
      </c>
      <c r="B470" t="s">
        <v>6</v>
      </c>
      <c r="C470" s="2" t="s">
        <v>481</v>
      </c>
      <c r="D470" s="32"/>
      <c r="E470" s="35" t="s">
        <v>1983</v>
      </c>
    </row>
    <row r="471" spans="1:5" x14ac:dyDescent="0.2">
      <c r="A471" s="34" t="str">
        <f>HYPERLINK("http://www.daganm.co.il/sku/OPT015-2","OPT015-2")</f>
        <v>OPT015-2</v>
      </c>
      <c r="B471" t="s">
        <v>6</v>
      </c>
      <c r="C471" s="2" t="s">
        <v>482</v>
      </c>
      <c r="D471" s="32"/>
      <c r="E471" s="35" t="s">
        <v>1984</v>
      </c>
    </row>
    <row r="472" spans="1:5" x14ac:dyDescent="0.2">
      <c r="A472" s="34" t="str">
        <f>HYPERLINK("http://www.daganm.co.il/sku/OPT015-3","OPT015-3")</f>
        <v>OPT015-3</v>
      </c>
      <c r="B472" t="s">
        <v>6</v>
      </c>
      <c r="C472" s="2" t="s">
        <v>483</v>
      </c>
      <c r="D472" s="32"/>
      <c r="E472" s="35" t="s">
        <v>1985</v>
      </c>
    </row>
    <row r="473" spans="1:5" x14ac:dyDescent="0.2">
      <c r="A473" s="34" t="str">
        <f>HYPERLINK("http://www.daganm.co.il/sku/OPT015-5","OPT015-5")</f>
        <v>OPT015-5</v>
      </c>
      <c r="B473" t="s">
        <v>6</v>
      </c>
      <c r="C473" s="2" t="s">
        <v>484</v>
      </c>
      <c r="D473" s="32"/>
      <c r="E473" s="35" t="s">
        <v>1986</v>
      </c>
    </row>
    <row r="474" spans="1:5" x14ac:dyDescent="0.2">
      <c r="A474" s="34" t="str">
        <f>HYPERLINK("http://www.daganm.co.il/sku/OPT015-10","OPT015-10")</f>
        <v>OPT015-10</v>
      </c>
      <c r="B474" t="s">
        <v>6</v>
      </c>
      <c r="C474" s="2" t="s">
        <v>485</v>
      </c>
      <c r="D474" s="32"/>
      <c r="E474" s="35" t="s">
        <v>1987</v>
      </c>
    </row>
    <row r="475" spans="1:5" x14ac:dyDescent="0.2">
      <c r="A475" s="34" t="str">
        <f>HYPERLINK("http://www.daganm.co.il/sku/OPT015-15","OPT015-15")</f>
        <v>OPT015-15</v>
      </c>
      <c r="B475" t="s">
        <v>6</v>
      </c>
      <c r="C475" s="2" t="s">
        <v>486</v>
      </c>
      <c r="D475" s="32"/>
      <c r="E475" s="35" t="s">
        <v>1988</v>
      </c>
    </row>
    <row r="476" spans="1:5" x14ac:dyDescent="0.2">
      <c r="A476" s="34" t="str">
        <f>HYPERLINK("http://www.daganm.co.il/sku/OPT015-20","OPT015-20")</f>
        <v>OPT015-20</v>
      </c>
      <c r="B476" t="s">
        <v>6</v>
      </c>
      <c r="C476" s="2" t="s">
        <v>487</v>
      </c>
      <c r="D476" s="32"/>
      <c r="E476" s="35" t="s">
        <v>1989</v>
      </c>
    </row>
    <row r="477" spans="1:5" x14ac:dyDescent="0.2">
      <c r="A477" s="34" t="str">
        <f>HYPERLINK("http://www.daganm.co.il/sku/OPT015-30","OPT015-30")</f>
        <v>OPT015-30</v>
      </c>
      <c r="B477" t="s">
        <v>6</v>
      </c>
      <c r="C477" s="2" t="s">
        <v>488</v>
      </c>
      <c r="D477" s="32"/>
      <c r="E477" s="35" t="s">
        <v>1990</v>
      </c>
    </row>
    <row r="478" spans="1:5" x14ac:dyDescent="0.2">
      <c r="A478" s="34" t="str">
        <f>HYPERLINK("http://www.daganm.co.il/sku/OPT020-0.5","OPT020-0.5")</f>
        <v>OPT020-0.5</v>
      </c>
      <c r="B478" t="s">
        <v>6</v>
      </c>
      <c r="C478" s="2" t="s">
        <v>489</v>
      </c>
      <c r="D478" s="32"/>
      <c r="E478" s="35" t="s">
        <v>1991</v>
      </c>
    </row>
    <row r="479" spans="1:5" x14ac:dyDescent="0.2">
      <c r="A479" s="34" t="str">
        <f>HYPERLINK("http://www.daganm.co.il/sku/OPT020-1","OPT020-1")</f>
        <v>OPT020-1</v>
      </c>
      <c r="B479" t="s">
        <v>6</v>
      </c>
      <c r="C479" s="2" t="s">
        <v>490</v>
      </c>
      <c r="D479" s="32"/>
      <c r="E479" s="35" t="s">
        <v>1992</v>
      </c>
    </row>
    <row r="480" spans="1:5" x14ac:dyDescent="0.2">
      <c r="A480" s="34" t="str">
        <f>HYPERLINK("http://www.daganm.co.il/sku/OPT020-1.5","OPT020-1.5")</f>
        <v>OPT020-1.5</v>
      </c>
      <c r="B480" t="s">
        <v>6</v>
      </c>
      <c r="C480" s="2" t="s">
        <v>491</v>
      </c>
      <c r="D480" s="32"/>
      <c r="E480" s="35" t="s">
        <v>1993</v>
      </c>
    </row>
    <row r="481" spans="1:5" x14ac:dyDescent="0.2">
      <c r="A481" s="34" t="str">
        <f>HYPERLINK("http://www.daganm.co.il/sku/OPT020-2","OPT020-2")</f>
        <v>OPT020-2</v>
      </c>
      <c r="B481" t="s">
        <v>6</v>
      </c>
      <c r="C481" s="2" t="s">
        <v>492</v>
      </c>
      <c r="D481" s="32"/>
      <c r="E481" s="35" t="s">
        <v>1994</v>
      </c>
    </row>
    <row r="482" spans="1:5" x14ac:dyDescent="0.2">
      <c r="A482" s="34" t="str">
        <f>HYPERLINK("http://www.daganm.co.il/sku/OPT020-3","OPT020-3")</f>
        <v>OPT020-3</v>
      </c>
      <c r="B482" t="s">
        <v>6</v>
      </c>
      <c r="C482" s="2" t="s">
        <v>493</v>
      </c>
      <c r="D482" s="32"/>
      <c r="E482" s="35" t="s">
        <v>1995</v>
      </c>
    </row>
    <row r="483" spans="1:5" x14ac:dyDescent="0.2">
      <c r="A483" s="34" t="str">
        <f>HYPERLINK("http://www.daganm.co.il/sku/OPT020-5","OPT020-5")</f>
        <v>OPT020-5</v>
      </c>
      <c r="B483" t="s">
        <v>6</v>
      </c>
      <c r="C483" s="2" t="s">
        <v>494</v>
      </c>
      <c r="D483" s="32"/>
      <c r="E483" s="35" t="s">
        <v>1996</v>
      </c>
    </row>
    <row r="484" spans="1:5" x14ac:dyDescent="0.2">
      <c r="A484" s="34" t="str">
        <f>HYPERLINK("http://www.daganm.co.il/sku/OPT020-10","OPT020-10")</f>
        <v>OPT020-10</v>
      </c>
      <c r="B484" t="s">
        <v>6</v>
      </c>
      <c r="C484" s="2" t="s">
        <v>495</v>
      </c>
      <c r="D484" s="32"/>
      <c r="E484" s="35" t="s">
        <v>1997</v>
      </c>
    </row>
    <row r="485" spans="1:5" x14ac:dyDescent="0.2">
      <c r="A485" s="34" t="str">
        <f>HYPERLINK("http://www.daganm.co.il/sku/OPT020-15","OPT020-15")</f>
        <v>OPT020-15</v>
      </c>
      <c r="B485" t="s">
        <v>6</v>
      </c>
      <c r="C485" s="2" t="s">
        <v>496</v>
      </c>
      <c r="D485" s="36"/>
      <c r="E485" s="35" t="s">
        <v>1998</v>
      </c>
    </row>
    <row r="486" spans="1:5" x14ac:dyDescent="0.2">
      <c r="A486" s="34" t="str">
        <f>HYPERLINK("http://www.daganm.co.il/sku/OPT020-20","OPT020-20")</f>
        <v>OPT020-20</v>
      </c>
      <c r="B486" t="s">
        <v>6</v>
      </c>
      <c r="C486" s="2" t="s">
        <v>497</v>
      </c>
      <c r="D486" s="32"/>
      <c r="E486" s="35" t="s">
        <v>1999</v>
      </c>
    </row>
    <row r="487" spans="1:5" x14ac:dyDescent="0.2">
      <c r="A487" s="34" t="str">
        <f>HYPERLINK("http://www.daganm.co.il/sku/OPT020-30","OPT020-30")</f>
        <v>OPT020-30</v>
      </c>
      <c r="B487" t="s">
        <v>6</v>
      </c>
      <c r="C487" s="2" t="s">
        <v>498</v>
      </c>
      <c r="D487" s="32"/>
      <c r="E487" s="35" t="s">
        <v>2000</v>
      </c>
    </row>
    <row r="488" spans="1:5" x14ac:dyDescent="0.2">
      <c r="A488" s="34" t="str">
        <f>HYPERLINK("http://www.daganm.co.il/sku/OPT022-1","OPT022-1")</f>
        <v>OPT022-1</v>
      </c>
      <c r="B488" t="s">
        <v>6</v>
      </c>
      <c r="C488" s="2" t="s">
        <v>499</v>
      </c>
      <c r="D488" s="32"/>
      <c r="E488" s="35" t="s">
        <v>2001</v>
      </c>
    </row>
    <row r="489" spans="1:5" x14ac:dyDescent="0.2">
      <c r="A489" s="34" t="str">
        <f>HYPERLINK("http://www.daganm.co.il/sku/OPT022-2","OPT022-2")</f>
        <v>OPT022-2</v>
      </c>
      <c r="B489" t="s">
        <v>6</v>
      </c>
      <c r="C489" s="2" t="s">
        <v>500</v>
      </c>
      <c r="D489" s="32"/>
      <c r="E489" s="35" t="s">
        <v>2002</v>
      </c>
    </row>
    <row r="490" spans="1:5" x14ac:dyDescent="0.2">
      <c r="A490" s="34" t="str">
        <f>HYPERLINK("http://www.daganm.co.il/sku/OPT022-3","OPT022-3")</f>
        <v>OPT022-3</v>
      </c>
      <c r="B490" t="s">
        <v>6</v>
      </c>
      <c r="C490" s="2" t="s">
        <v>501</v>
      </c>
      <c r="D490" s="32"/>
      <c r="E490" s="35" t="s">
        <v>2003</v>
      </c>
    </row>
    <row r="491" spans="1:5" x14ac:dyDescent="0.2">
      <c r="A491" s="34" t="str">
        <f>HYPERLINK("http://www.daganm.co.il/sku/OPT022-5","OPT022-5")</f>
        <v>OPT022-5</v>
      </c>
      <c r="B491" t="s">
        <v>6</v>
      </c>
      <c r="C491" s="2" t="s">
        <v>502</v>
      </c>
      <c r="D491" s="32"/>
      <c r="E491" s="35" t="s">
        <v>2004</v>
      </c>
    </row>
    <row r="492" spans="1:5" x14ac:dyDescent="0.2">
      <c r="A492" s="34" t="str">
        <f>HYPERLINK("http://www.daganm.co.il/sku/OPT022-10","OPT022-10")</f>
        <v>OPT022-10</v>
      </c>
      <c r="B492" t="s">
        <v>6</v>
      </c>
      <c r="C492" s="2" t="s">
        <v>503</v>
      </c>
      <c r="D492" s="32"/>
      <c r="E492" s="35" t="s">
        <v>2005</v>
      </c>
    </row>
    <row r="493" spans="1:5" x14ac:dyDescent="0.2">
      <c r="A493" s="34" t="str">
        <f>HYPERLINK("http://www.daganm.co.il/sku/OPT030-1","OPT030-1")</f>
        <v>OPT030-1</v>
      </c>
      <c r="B493" t="s">
        <v>6</v>
      </c>
      <c r="C493" s="2" t="s">
        <v>504</v>
      </c>
      <c r="D493" s="32"/>
      <c r="E493" s="35" t="s">
        <v>2006</v>
      </c>
    </row>
    <row r="494" spans="1:5" x14ac:dyDescent="0.2">
      <c r="A494" s="34" t="str">
        <f>HYPERLINK("http://www.daganm.co.il/sku/OPT030-2","OPT030-2")</f>
        <v>OPT030-2</v>
      </c>
      <c r="B494" t="s">
        <v>6</v>
      </c>
      <c r="C494" s="2" t="s">
        <v>505</v>
      </c>
      <c r="D494" s="36">
        <v>45442</v>
      </c>
      <c r="E494" s="35" t="s">
        <v>2007</v>
      </c>
    </row>
    <row r="495" spans="1:5" x14ac:dyDescent="0.2">
      <c r="A495" s="34" t="str">
        <f>HYPERLINK("http://www.daganm.co.il/sku/OPT030-3","OPT030-3")</f>
        <v>OPT030-3</v>
      </c>
      <c r="B495" t="s">
        <v>6</v>
      </c>
      <c r="C495" s="2" t="s">
        <v>506</v>
      </c>
      <c r="D495" s="32"/>
      <c r="E495" s="35" t="s">
        <v>2008</v>
      </c>
    </row>
    <row r="496" spans="1:5" x14ac:dyDescent="0.2">
      <c r="A496" s="34" t="str">
        <f>HYPERLINK("http://www.daganm.co.il/sku/OPT030-5","OPT030-5")</f>
        <v>OPT030-5</v>
      </c>
      <c r="B496" t="s">
        <v>6</v>
      </c>
      <c r="C496" s="2" t="s">
        <v>507</v>
      </c>
      <c r="D496" s="32"/>
      <c r="E496" s="35" t="s">
        <v>2009</v>
      </c>
    </row>
    <row r="497" spans="1:5" x14ac:dyDescent="0.2">
      <c r="A497" s="34" t="str">
        <f>HYPERLINK("http://www.daganm.co.il/sku/OPT030-10","OPT030-10")</f>
        <v>OPT030-10</v>
      </c>
      <c r="B497" t="s">
        <v>6</v>
      </c>
      <c r="C497" s="2" t="s">
        <v>508</v>
      </c>
      <c r="D497" s="32"/>
      <c r="E497" s="35" t="s">
        <v>2010</v>
      </c>
    </row>
    <row r="498" spans="1:5" x14ac:dyDescent="0.2">
      <c r="A498" s="34" t="str">
        <f>HYPERLINK("http://www.daganm.co.il/sku/OPT030-15","OPT030-15")</f>
        <v>OPT030-15</v>
      </c>
      <c r="B498" t="s">
        <v>6</v>
      </c>
      <c r="C498" s="2" t="s">
        <v>509</v>
      </c>
      <c r="D498" s="32"/>
      <c r="E498" s="35" t="s">
        <v>2011</v>
      </c>
    </row>
    <row r="499" spans="1:5" x14ac:dyDescent="0.2">
      <c r="A499" s="34" t="str">
        <f>HYPERLINK("http://www.daganm.co.il/sku/OPT030-20","OPT030-20")</f>
        <v>OPT030-20</v>
      </c>
      <c r="B499" t="s">
        <v>6</v>
      </c>
      <c r="C499" s="2" t="s">
        <v>510</v>
      </c>
      <c r="D499" s="32"/>
      <c r="E499" s="35" t="s">
        <v>2012</v>
      </c>
    </row>
    <row r="500" spans="1:5" x14ac:dyDescent="0.2">
      <c r="A500" s="34" t="str">
        <f>HYPERLINK("http://www.daganm.co.il/sku/OPT032-1","OPT032-1")</f>
        <v>OPT032-1</v>
      </c>
      <c r="B500" t="s">
        <v>6</v>
      </c>
      <c r="C500" s="2" t="s">
        <v>511</v>
      </c>
      <c r="D500" s="32"/>
      <c r="E500" s="35" t="s">
        <v>2013</v>
      </c>
    </row>
    <row r="501" spans="1:5" x14ac:dyDescent="0.2">
      <c r="A501" s="34" t="str">
        <f>HYPERLINK("http://www.daganm.co.il/sku/OPT040-0.5","OPT040-0.5")</f>
        <v>OPT040-0.5</v>
      </c>
      <c r="B501" t="s">
        <v>6</v>
      </c>
      <c r="C501" s="2" t="s">
        <v>512</v>
      </c>
      <c r="D501" s="32"/>
      <c r="E501" s="35" t="s">
        <v>2014</v>
      </c>
    </row>
    <row r="502" spans="1:5" x14ac:dyDescent="0.2">
      <c r="A502" s="34" t="str">
        <f>HYPERLINK("http://www.daganm.co.il/sku/OPT040-1","OPT040-1")</f>
        <v>OPT040-1</v>
      </c>
      <c r="B502" t="s">
        <v>6</v>
      </c>
      <c r="C502" s="2" t="s">
        <v>513</v>
      </c>
      <c r="D502" s="32"/>
      <c r="E502" s="35" t="s">
        <v>2015</v>
      </c>
    </row>
    <row r="503" spans="1:5" x14ac:dyDescent="0.2">
      <c r="A503" s="34" t="str">
        <f>HYPERLINK("http://www.daganm.co.il/sku/OPT040-2","OPT040-2")</f>
        <v>OPT040-2</v>
      </c>
      <c r="B503" t="s">
        <v>6</v>
      </c>
      <c r="C503" s="2" t="s">
        <v>514</v>
      </c>
      <c r="D503" s="32"/>
      <c r="E503" s="35" t="s">
        <v>2016</v>
      </c>
    </row>
    <row r="504" spans="1:5" x14ac:dyDescent="0.2">
      <c r="A504" s="34" t="str">
        <f>HYPERLINK("http://www.daganm.co.il/sku/OPT040-3","OPT040-3")</f>
        <v>OPT040-3</v>
      </c>
      <c r="B504" t="s">
        <v>6</v>
      </c>
      <c r="C504" s="2" t="s">
        <v>515</v>
      </c>
      <c r="D504" s="32"/>
      <c r="E504" s="35" t="s">
        <v>2017</v>
      </c>
    </row>
    <row r="505" spans="1:5" x14ac:dyDescent="0.2">
      <c r="A505" s="34" t="str">
        <f>HYPERLINK("http://www.daganm.co.il/sku/OPT040-5","OPT040-5")</f>
        <v>OPT040-5</v>
      </c>
      <c r="B505" t="s">
        <v>6</v>
      </c>
      <c r="C505" s="2" t="s">
        <v>516</v>
      </c>
      <c r="D505" s="36"/>
      <c r="E505" s="35" t="s">
        <v>2018</v>
      </c>
    </row>
    <row r="506" spans="1:5" x14ac:dyDescent="0.2">
      <c r="A506" s="34" t="str">
        <f>HYPERLINK("http://www.daganm.co.il/sku/OPT040-10","OPT040-10")</f>
        <v>OPT040-10</v>
      </c>
      <c r="B506" t="s">
        <v>6</v>
      </c>
      <c r="C506" s="2" t="s">
        <v>517</v>
      </c>
      <c r="D506" s="32"/>
      <c r="E506" s="35" t="s">
        <v>2019</v>
      </c>
    </row>
    <row r="507" spans="1:5" x14ac:dyDescent="0.2">
      <c r="A507" s="34" t="str">
        <f>HYPERLINK("http://www.daganm.co.il/sku/OPT042-1","OPT042-1")</f>
        <v>OPT042-1</v>
      </c>
      <c r="B507" t="s">
        <v>6</v>
      </c>
      <c r="C507" s="2" t="s">
        <v>518</v>
      </c>
      <c r="D507" s="36"/>
      <c r="E507" s="35" t="s">
        <v>2020</v>
      </c>
    </row>
    <row r="508" spans="1:5" x14ac:dyDescent="0.2">
      <c r="A508" s="34" t="str">
        <f>HYPERLINK("http://www.daganm.co.il/sku/OPT042-2","OPT042-2")</f>
        <v>OPT042-2</v>
      </c>
      <c r="B508" t="s">
        <v>6</v>
      </c>
      <c r="C508" s="2" t="s">
        <v>519</v>
      </c>
      <c r="D508" s="36"/>
      <c r="E508" s="35" t="s">
        <v>2021</v>
      </c>
    </row>
    <row r="509" spans="1:5" x14ac:dyDescent="0.2">
      <c r="A509" s="34" t="str">
        <f>HYPERLINK("http://www.daganm.co.il/sku/OPT042-3","OPT042-3")</f>
        <v>OPT042-3</v>
      </c>
      <c r="B509" t="s">
        <v>6</v>
      </c>
      <c r="C509" s="2" t="s">
        <v>520</v>
      </c>
      <c r="D509" s="36"/>
      <c r="E509" s="35" t="s">
        <v>2022</v>
      </c>
    </row>
    <row r="510" spans="1:5" x14ac:dyDescent="0.2">
      <c r="A510" s="34" t="str">
        <f>HYPERLINK("http://www.daganm.co.il/sku/OPT042-5","OPT042-5")</f>
        <v>OPT042-5</v>
      </c>
      <c r="B510" t="s">
        <v>6</v>
      </c>
      <c r="C510" s="2" t="s">
        <v>521</v>
      </c>
      <c r="D510" s="32"/>
      <c r="E510" s="32" t="s">
        <v>2023</v>
      </c>
    </row>
    <row r="511" spans="1:5" x14ac:dyDescent="0.2">
      <c r="A511" s="34" t="str">
        <f>HYPERLINK("http://www.daganm.co.il/sku/OPT050-1","OPT050-1")</f>
        <v>OPT050-1</v>
      </c>
      <c r="B511" t="s">
        <v>6</v>
      </c>
      <c r="C511" s="2" t="s">
        <v>522</v>
      </c>
      <c r="D511" s="32"/>
      <c r="E511" s="35" t="s">
        <v>2024</v>
      </c>
    </row>
    <row r="512" spans="1:5" x14ac:dyDescent="0.2">
      <c r="A512" s="34" t="str">
        <f>HYPERLINK("http://www.daganm.co.il/sku/OPT050-1.5","OPT050-1.5")</f>
        <v>OPT050-1.5</v>
      </c>
      <c r="B512" t="s">
        <v>6</v>
      </c>
      <c r="C512" s="2" t="s">
        <v>523</v>
      </c>
      <c r="D512" s="32"/>
      <c r="E512" s="35" t="s">
        <v>2025</v>
      </c>
    </row>
    <row r="513" spans="1:5" x14ac:dyDescent="0.2">
      <c r="A513" s="34" t="str">
        <f>HYPERLINK("http://www.daganm.co.il/sku/OPT050-2","OPT050-2")</f>
        <v>OPT050-2</v>
      </c>
      <c r="B513" t="s">
        <v>6</v>
      </c>
      <c r="C513" s="2" t="s">
        <v>524</v>
      </c>
      <c r="D513" s="32"/>
      <c r="E513" s="35" t="s">
        <v>2026</v>
      </c>
    </row>
    <row r="514" spans="1:5" x14ac:dyDescent="0.2">
      <c r="A514" s="34" t="str">
        <f>HYPERLINK("http://www.daganm.co.il/sku/OPT050-3","OPT050-3")</f>
        <v>OPT050-3</v>
      </c>
      <c r="B514" t="s">
        <v>6</v>
      </c>
      <c r="C514" s="2" t="s">
        <v>525</v>
      </c>
      <c r="D514" s="32"/>
      <c r="E514" s="35" t="s">
        <v>2027</v>
      </c>
    </row>
    <row r="515" spans="1:5" x14ac:dyDescent="0.2">
      <c r="A515" s="34" t="str">
        <f>HYPERLINK("http://www.daganm.co.il/sku/OPT050-5","OPT050-5")</f>
        <v>OPT050-5</v>
      </c>
      <c r="B515" t="s">
        <v>6</v>
      </c>
      <c r="C515" s="2" t="s">
        <v>526</v>
      </c>
      <c r="D515" s="36"/>
      <c r="E515" s="35" t="s">
        <v>2028</v>
      </c>
    </row>
    <row r="516" spans="1:5" x14ac:dyDescent="0.2">
      <c r="A516" s="34" t="str">
        <f>HYPERLINK("http://www.daganm.co.il/sku/OPT050-10","OPT050-10")</f>
        <v>OPT050-10</v>
      </c>
      <c r="B516" t="s">
        <v>6</v>
      </c>
      <c r="C516" s="2" t="s">
        <v>527</v>
      </c>
      <c r="D516" s="32"/>
      <c r="E516" s="35" t="s">
        <v>2029</v>
      </c>
    </row>
    <row r="517" spans="1:5" x14ac:dyDescent="0.2">
      <c r="A517" s="34" t="str">
        <f>HYPERLINK("http://www.daganm.co.il/sku/OPT050-15","OPT050-15")</f>
        <v>OPT050-15</v>
      </c>
      <c r="B517" t="s">
        <v>6</v>
      </c>
      <c r="C517" s="2" t="s">
        <v>528</v>
      </c>
      <c r="D517" s="32"/>
      <c r="E517" s="35" t="s">
        <v>2030</v>
      </c>
    </row>
    <row r="518" spans="1:5" x14ac:dyDescent="0.2">
      <c r="A518" s="34" t="str">
        <f>HYPERLINK("http://www.daganm.co.il/sku/OPT050-20","OPT050-20")</f>
        <v>OPT050-20</v>
      </c>
      <c r="B518" t="s">
        <v>6</v>
      </c>
      <c r="C518" s="2" t="s">
        <v>529</v>
      </c>
      <c r="D518" s="32"/>
      <c r="E518" s="35" t="s">
        <v>2031</v>
      </c>
    </row>
    <row r="519" spans="1:5" x14ac:dyDescent="0.2">
      <c r="A519" s="34" t="str">
        <f>HYPERLINK("http://www.daganm.co.il/sku/OPT070-1","OPT070-1")</f>
        <v>OPT070-1</v>
      </c>
      <c r="B519" t="s">
        <v>6</v>
      </c>
      <c r="C519" s="2" t="s">
        <v>3723</v>
      </c>
      <c r="D519" s="36"/>
      <c r="E519" s="35" t="s">
        <v>3975</v>
      </c>
    </row>
    <row r="520" spans="1:5" x14ac:dyDescent="0.2">
      <c r="B520"/>
      <c r="C520" s="33" t="s">
        <v>16</v>
      </c>
      <c r="D520" s="32"/>
      <c r="E520" s="35"/>
    </row>
    <row r="521" spans="1:5" x14ac:dyDescent="0.2">
      <c r="A521" s="34" t="str">
        <f>HYPERLINK("http://www.daganm.co.il/sku/OPT011-0.5","OPT011-0.5")</f>
        <v>OPT011-0.5</v>
      </c>
      <c r="B521" t="s">
        <v>6</v>
      </c>
      <c r="C521" s="2" t="s">
        <v>530</v>
      </c>
      <c r="D521" s="32"/>
      <c r="E521" s="35" t="s">
        <v>2032</v>
      </c>
    </row>
    <row r="522" spans="1:5" x14ac:dyDescent="0.2">
      <c r="A522" s="34" t="str">
        <f>HYPERLINK("http://www.daganm.co.il/sku/OPT011-1","OPT011-1")</f>
        <v>OPT011-1</v>
      </c>
      <c r="B522" t="s">
        <v>6</v>
      </c>
      <c r="C522" s="2" t="s">
        <v>531</v>
      </c>
      <c r="D522" s="32"/>
      <c r="E522" s="35" t="s">
        <v>2033</v>
      </c>
    </row>
    <row r="523" spans="1:5" x14ac:dyDescent="0.2">
      <c r="A523" s="34" t="str">
        <f>HYPERLINK("http://www.daganm.co.il/sku/OPT011-2","OPT011-2")</f>
        <v>OPT011-2</v>
      </c>
      <c r="B523" t="s">
        <v>6</v>
      </c>
      <c r="C523" s="2" t="s">
        <v>532</v>
      </c>
      <c r="D523" s="32"/>
      <c r="E523" s="35" t="s">
        <v>2034</v>
      </c>
    </row>
    <row r="524" spans="1:5" x14ac:dyDescent="0.2">
      <c r="A524" s="34" t="str">
        <f>HYPERLINK("http://www.daganm.co.il/sku/OPT011-3","OPT011-3")</f>
        <v>OPT011-3</v>
      </c>
      <c r="B524" t="s">
        <v>6</v>
      </c>
      <c r="C524" s="2" t="s">
        <v>533</v>
      </c>
      <c r="D524" s="32"/>
      <c r="E524" s="35" t="s">
        <v>2035</v>
      </c>
    </row>
    <row r="525" spans="1:5" x14ac:dyDescent="0.2">
      <c r="A525" s="34" t="str">
        <f>HYPERLINK("http://www.daganm.co.il/sku/OPT011-5","OPT011-5")</f>
        <v>OPT011-5</v>
      </c>
      <c r="B525" t="s">
        <v>6</v>
      </c>
      <c r="C525" s="2" t="s">
        <v>534</v>
      </c>
      <c r="D525" s="32"/>
      <c r="E525" s="35" t="s">
        <v>2036</v>
      </c>
    </row>
    <row r="526" spans="1:5" x14ac:dyDescent="0.2">
      <c r="A526" s="34" t="str">
        <f>HYPERLINK("http://www.daganm.co.il/sku/OPT011-10","OPT011-10")</f>
        <v>OPT011-10</v>
      </c>
      <c r="B526" t="s">
        <v>6</v>
      </c>
      <c r="C526" s="2" t="s">
        <v>535</v>
      </c>
      <c r="D526" s="32"/>
      <c r="E526" s="35" t="s">
        <v>2037</v>
      </c>
    </row>
    <row r="527" spans="1:5" x14ac:dyDescent="0.2">
      <c r="A527" s="34" t="str">
        <f>HYPERLINK("http://www.daganm.co.il/sku/OPT011-15","OPT011-15")</f>
        <v>OPT011-15</v>
      </c>
      <c r="B527" t="s">
        <v>6</v>
      </c>
      <c r="C527" s="2" t="s">
        <v>536</v>
      </c>
      <c r="D527" s="32">
        <v>45442</v>
      </c>
      <c r="E527" s="35" t="s">
        <v>2038</v>
      </c>
    </row>
    <row r="528" spans="1:5" x14ac:dyDescent="0.2">
      <c r="A528" s="34" t="str">
        <f>HYPERLINK("http://www.daganm.co.il/sku/OPT011-20","OPT011-20")</f>
        <v>OPT011-20</v>
      </c>
      <c r="B528" t="s">
        <v>6</v>
      </c>
      <c r="C528" s="2" t="s">
        <v>537</v>
      </c>
      <c r="D528" s="32"/>
      <c r="E528" s="35" t="s">
        <v>2039</v>
      </c>
    </row>
    <row r="529" spans="1:5" x14ac:dyDescent="0.2">
      <c r="A529" s="34" t="str">
        <f>HYPERLINK("http://www.daganm.co.il/sku/OPT021-1","OPT021-1")</f>
        <v>OPT021-1</v>
      </c>
      <c r="B529" t="s">
        <v>6</v>
      </c>
      <c r="C529" s="2" t="s">
        <v>538</v>
      </c>
      <c r="D529" s="32"/>
      <c r="E529" s="35" t="s">
        <v>2040</v>
      </c>
    </row>
    <row r="530" spans="1:5" x14ac:dyDescent="0.2">
      <c r="A530" s="34" t="str">
        <f>HYPERLINK("http://www.daganm.co.il/sku/OPT021-2","OPT021-2")</f>
        <v>OPT021-2</v>
      </c>
      <c r="B530" t="s">
        <v>6</v>
      </c>
      <c r="C530" s="2" t="s">
        <v>539</v>
      </c>
      <c r="D530" s="32"/>
      <c r="E530" s="35" t="s">
        <v>2041</v>
      </c>
    </row>
    <row r="531" spans="1:5" x14ac:dyDescent="0.2">
      <c r="A531" s="34" t="str">
        <f>HYPERLINK("http://www.daganm.co.il/sku/OPT021-3","OPT021-3")</f>
        <v>OPT021-3</v>
      </c>
      <c r="B531" t="s">
        <v>6</v>
      </c>
      <c r="C531" s="2" t="s">
        <v>540</v>
      </c>
      <c r="D531" s="32"/>
      <c r="E531" s="35" t="s">
        <v>2042</v>
      </c>
    </row>
    <row r="532" spans="1:5" x14ac:dyDescent="0.2">
      <c r="A532" s="34" t="str">
        <f>HYPERLINK("http://www.daganm.co.il/sku/OPT021-5","OPT021-5")</f>
        <v>OPT021-5</v>
      </c>
      <c r="B532" t="s">
        <v>6</v>
      </c>
      <c r="C532" s="2" t="s">
        <v>541</v>
      </c>
      <c r="D532" s="36"/>
      <c r="E532" s="35" t="s">
        <v>2043</v>
      </c>
    </row>
    <row r="533" spans="1:5" x14ac:dyDescent="0.2">
      <c r="A533" s="34" t="str">
        <f>HYPERLINK("http://www.daganm.co.il/sku/OPT021-10","OPT021-10")</f>
        <v>OPT021-10</v>
      </c>
      <c r="B533" t="s">
        <v>6</v>
      </c>
      <c r="C533" s="2" t="s">
        <v>542</v>
      </c>
      <c r="D533" s="32"/>
      <c r="E533" s="35" t="s">
        <v>2044</v>
      </c>
    </row>
    <row r="534" spans="1:5" x14ac:dyDescent="0.2">
      <c r="A534" s="34" t="str">
        <f>HYPERLINK("http://www.daganm.co.il/sku/OPT031-1","OPT031-1")</f>
        <v>OPT031-1</v>
      </c>
      <c r="B534" t="s">
        <v>6</v>
      </c>
      <c r="C534" s="2" t="s">
        <v>543</v>
      </c>
      <c r="D534" s="32"/>
      <c r="E534" s="35" t="s">
        <v>2045</v>
      </c>
    </row>
    <row r="535" spans="1:5" x14ac:dyDescent="0.2">
      <c r="A535" s="34" t="str">
        <f>HYPERLINK("http://www.daganm.co.il/sku/OPT031-2","OPT031-2")</f>
        <v>OPT031-2</v>
      </c>
      <c r="B535" t="s">
        <v>6</v>
      </c>
      <c r="C535" s="2" t="s">
        <v>544</v>
      </c>
      <c r="D535" s="32"/>
      <c r="E535" s="35" t="s">
        <v>2046</v>
      </c>
    </row>
    <row r="536" spans="1:5" x14ac:dyDescent="0.2">
      <c r="A536" s="34" t="str">
        <f>HYPERLINK("http://www.daganm.co.il/sku/OPT031-3","OPT031-3")</f>
        <v>OPT031-3</v>
      </c>
      <c r="B536" t="s">
        <v>6</v>
      </c>
      <c r="C536" s="2" t="s">
        <v>545</v>
      </c>
      <c r="D536" s="32"/>
      <c r="E536" s="35" t="s">
        <v>2047</v>
      </c>
    </row>
    <row r="537" spans="1:5" x14ac:dyDescent="0.2">
      <c r="A537" s="34" t="str">
        <f>HYPERLINK("http://www.daganm.co.il/sku/OPT031-5","OPT031-5")</f>
        <v>OPT031-5</v>
      </c>
      <c r="B537" t="s">
        <v>6</v>
      </c>
      <c r="C537" s="2" t="s">
        <v>546</v>
      </c>
      <c r="D537" s="32"/>
      <c r="E537" s="32" t="s">
        <v>2048</v>
      </c>
    </row>
    <row r="538" spans="1:5" x14ac:dyDescent="0.2">
      <c r="A538" s="34" t="str">
        <f>HYPERLINK("http://www.daganm.co.il/sku/OPT041-1","OPT041-1")</f>
        <v>OPT041-1</v>
      </c>
      <c r="B538" t="s">
        <v>6</v>
      </c>
      <c r="C538" s="2" t="s">
        <v>547</v>
      </c>
      <c r="D538" s="36"/>
      <c r="E538" s="35" t="s">
        <v>2049</v>
      </c>
    </row>
    <row r="539" spans="1:5" x14ac:dyDescent="0.2">
      <c r="A539" s="34" t="str">
        <f>HYPERLINK("http://www.daganm.co.il/sku/OPT041-2","OPT041-2")</f>
        <v>OPT041-2</v>
      </c>
      <c r="B539" t="s">
        <v>6</v>
      </c>
      <c r="C539" s="2" t="s">
        <v>548</v>
      </c>
      <c r="D539" s="36"/>
      <c r="E539" s="35" t="s">
        <v>2050</v>
      </c>
    </row>
    <row r="540" spans="1:5" x14ac:dyDescent="0.2">
      <c r="A540" s="34" t="str">
        <f>HYPERLINK("http://www.daganm.co.il/sku/OPT041-3","OPT041-3")</f>
        <v>OPT041-3</v>
      </c>
      <c r="B540" t="s">
        <v>6</v>
      </c>
      <c r="C540" s="2" t="s">
        <v>549</v>
      </c>
      <c r="D540" s="32"/>
      <c r="E540" s="35" t="s">
        <v>2051</v>
      </c>
    </row>
    <row r="541" spans="1:5" x14ac:dyDescent="0.2">
      <c r="A541" s="34" t="str">
        <f>HYPERLINK("http://www.daganm.co.il/sku/OPT041-5","OPT041-5")</f>
        <v>OPT041-5</v>
      </c>
      <c r="B541" t="s">
        <v>6</v>
      </c>
      <c r="C541" s="2" t="s">
        <v>550</v>
      </c>
      <c r="D541" s="32"/>
      <c r="E541" s="35" t="s">
        <v>2052</v>
      </c>
    </row>
    <row r="542" spans="1:5" x14ac:dyDescent="0.2">
      <c r="A542" s="34" t="str">
        <f>HYPERLINK("http://www.daganm.co.il/sku/OPT051-1","OPT051-1")</f>
        <v>OPT051-1</v>
      </c>
      <c r="B542" t="s">
        <v>6</v>
      </c>
      <c r="C542" s="2" t="s">
        <v>551</v>
      </c>
      <c r="D542" s="32"/>
      <c r="E542" s="35" t="s">
        <v>2053</v>
      </c>
    </row>
    <row r="543" spans="1:5" x14ac:dyDescent="0.2">
      <c r="A543" s="34" t="str">
        <f>HYPERLINK("http://www.daganm.co.il/sku/OPT051-2","OPT051-2")</f>
        <v>OPT051-2</v>
      </c>
      <c r="B543" t="s">
        <v>6</v>
      </c>
      <c r="C543" s="2" t="s">
        <v>552</v>
      </c>
      <c r="D543" s="32"/>
      <c r="E543" s="35" t="s">
        <v>2054</v>
      </c>
    </row>
    <row r="544" spans="1:5" x14ac:dyDescent="0.2">
      <c r="A544" s="34" t="str">
        <f>HYPERLINK("http://www.daganm.co.il/sku/OPT051-3","OPT051-3")</f>
        <v>OPT051-3</v>
      </c>
      <c r="B544" t="s">
        <v>6</v>
      </c>
      <c r="C544" s="2" t="s">
        <v>553</v>
      </c>
      <c r="D544" s="36"/>
      <c r="E544" s="35" t="s">
        <v>2055</v>
      </c>
    </row>
    <row r="545" spans="1:5" x14ac:dyDescent="0.2">
      <c r="A545" s="34" t="str">
        <f>HYPERLINK("http://www.daganm.co.il/sku/OPT051-5","OPT051-5")</f>
        <v>OPT051-5</v>
      </c>
      <c r="B545" t="s">
        <v>6</v>
      </c>
      <c r="C545" s="2" t="s">
        <v>554</v>
      </c>
      <c r="D545" s="32"/>
      <c r="E545" s="32" t="s">
        <v>2056</v>
      </c>
    </row>
    <row r="546" spans="1:5" x14ac:dyDescent="0.2">
      <c r="A546" s="34" t="str">
        <f>HYPERLINK("http://www.daganm.co.il/sku/OPT051-10","OPT051-10")</f>
        <v>OPT051-10</v>
      </c>
      <c r="B546" t="s">
        <v>6</v>
      </c>
      <c r="C546" s="2" t="s">
        <v>555</v>
      </c>
      <c r="D546" s="32"/>
      <c r="E546" s="32" t="s">
        <v>2057</v>
      </c>
    </row>
    <row r="547" spans="1:5" x14ac:dyDescent="0.2">
      <c r="B547"/>
      <c r="C547" s="33" t="s">
        <v>3518</v>
      </c>
      <c r="D547" s="32"/>
      <c r="E547" s="35"/>
    </row>
    <row r="548" spans="1:5" x14ac:dyDescent="0.2">
      <c r="A548" s="37" t="str">
        <f>HYPERLINK("http://www.daganm.co.il/sku/MPO1020-1","MPO1020-1")</f>
        <v>MPO1020-1</v>
      </c>
      <c r="B548" t="s">
        <v>6</v>
      </c>
      <c r="C548" s="2" t="s">
        <v>4088</v>
      </c>
      <c r="D548" s="32">
        <v>45442</v>
      </c>
      <c r="E548" s="35" t="s">
        <v>4235</v>
      </c>
    </row>
    <row r="549" spans="1:5" x14ac:dyDescent="0.2">
      <c r="A549" s="37" t="str">
        <f>HYPERLINK("http://www.daganm.co.il/sku/MPO1020-2","MPO1020-2")</f>
        <v>MPO1020-2</v>
      </c>
      <c r="B549" t="s">
        <v>6</v>
      </c>
      <c r="C549" s="2" t="s">
        <v>4089</v>
      </c>
      <c r="D549" s="36">
        <v>45442</v>
      </c>
      <c r="E549" s="35" t="s">
        <v>4236</v>
      </c>
    </row>
    <row r="550" spans="1:5" x14ac:dyDescent="0.2">
      <c r="A550" s="37" t="str">
        <f>HYPERLINK("http://www.daganm.co.il/sku/MPO1020-3","MPO1020-3")</f>
        <v>MPO1020-3</v>
      </c>
      <c r="B550" t="s">
        <v>6</v>
      </c>
      <c r="C550" s="2" t="s">
        <v>4090</v>
      </c>
      <c r="D550" s="32">
        <v>45442</v>
      </c>
      <c r="E550" s="35" t="s">
        <v>4237</v>
      </c>
    </row>
    <row r="551" spans="1:5" x14ac:dyDescent="0.2">
      <c r="A551" s="37" t="str">
        <f>HYPERLINK("http://www.daganm.co.il/sku/MPO1020-5","MPO1020-5")</f>
        <v>MPO1020-5</v>
      </c>
      <c r="B551" t="s">
        <v>6</v>
      </c>
      <c r="C551" s="2" t="s">
        <v>4091</v>
      </c>
      <c r="D551" s="32">
        <v>45442</v>
      </c>
      <c r="E551" s="35" t="s">
        <v>4238</v>
      </c>
    </row>
    <row r="552" spans="1:5" x14ac:dyDescent="0.2">
      <c r="A552" s="37" t="str">
        <f>HYPERLINK("http://www.daganm.co.il/sku/MPO1046-2","MPO1046-2")</f>
        <v>MPO1046-2</v>
      </c>
      <c r="B552" t="s">
        <v>6</v>
      </c>
      <c r="C552" s="2" t="s">
        <v>4092</v>
      </c>
      <c r="D552" s="32">
        <v>45442</v>
      </c>
      <c r="E552" s="35" t="s">
        <v>4239</v>
      </c>
    </row>
    <row r="553" spans="1:5" x14ac:dyDescent="0.2">
      <c r="A553" s="37" t="str">
        <f>HYPERLINK("http://www.daganm.co.il/sku/MPO1046-3","MPO1046-3")</f>
        <v>MPO1046-3</v>
      </c>
      <c r="B553" t="s">
        <v>6</v>
      </c>
      <c r="C553" s="2" t="s">
        <v>4093</v>
      </c>
      <c r="D553" s="32">
        <v>45442</v>
      </c>
      <c r="E553" s="35" t="s">
        <v>4240</v>
      </c>
    </row>
    <row r="554" spans="1:5" x14ac:dyDescent="0.2">
      <c r="A554" s="37" t="str">
        <f>HYPERLINK("http://www.daganm.co.il/sku/MPO1046-5","MPO1046-5")</f>
        <v>MPO1046-5</v>
      </c>
      <c r="B554" t="s">
        <v>6</v>
      </c>
      <c r="C554" s="2" t="s">
        <v>4094</v>
      </c>
      <c r="D554" s="32">
        <v>45442</v>
      </c>
      <c r="E554" s="35" t="s">
        <v>4241</v>
      </c>
    </row>
    <row r="555" spans="1:5" x14ac:dyDescent="0.2">
      <c r="A555" s="37" t="str">
        <f>HYPERLINK("http://www.daganm.co.il/sku/MPO2130-2","MPO2130-2")</f>
        <v>MPO2130-2</v>
      </c>
      <c r="B555" t="s">
        <v>6</v>
      </c>
      <c r="C555" s="2" t="s">
        <v>4095</v>
      </c>
      <c r="D555" s="32">
        <v>45442</v>
      </c>
      <c r="E555" s="35" t="s">
        <v>4242</v>
      </c>
    </row>
    <row r="556" spans="1:5" x14ac:dyDescent="0.2">
      <c r="A556" s="37" t="str">
        <f>HYPERLINK("http://www.daganm.co.il/sku/MPO2130-3","MPO2130-3")</f>
        <v>MPO2130-3</v>
      </c>
      <c r="B556" t="s">
        <v>6</v>
      </c>
      <c r="C556" s="2" t="s">
        <v>4096</v>
      </c>
      <c r="D556" s="32">
        <v>45442</v>
      </c>
      <c r="E556" s="32" t="s">
        <v>4243</v>
      </c>
    </row>
    <row r="557" spans="1:5" x14ac:dyDescent="0.2">
      <c r="A557" s="37" t="str">
        <f>HYPERLINK("http://www.daganm.co.il/sku/MPO2130-5","MPO2130-5")</f>
        <v>MPO2130-5</v>
      </c>
      <c r="B557" t="s">
        <v>6</v>
      </c>
      <c r="C557" s="2" t="s">
        <v>4097</v>
      </c>
      <c r="D557" s="36">
        <v>45442</v>
      </c>
      <c r="E557" s="35" t="s">
        <v>4244</v>
      </c>
    </row>
    <row r="558" spans="1:5" x14ac:dyDescent="0.2">
      <c r="A558" s="37" t="str">
        <f>HYPERLINK("http://www.daganm.co.il/sku/MPO2157-3","MPO2157-3")</f>
        <v>MPO2157-3</v>
      </c>
      <c r="B558" t="s">
        <v>6</v>
      </c>
      <c r="C558" s="2" t="s">
        <v>4098</v>
      </c>
      <c r="D558" s="36">
        <v>45442</v>
      </c>
      <c r="E558" s="35" t="s">
        <v>4245</v>
      </c>
    </row>
    <row r="559" spans="1:5" x14ac:dyDescent="0.2">
      <c r="A559" s="37" t="str">
        <f>HYPERLINK("http://www.daganm.co.il/sku/MPO2157-5","MPO2157-5")</f>
        <v>MPO2157-5</v>
      </c>
      <c r="B559" t="s">
        <v>6</v>
      </c>
      <c r="C559" s="2" t="s">
        <v>4099</v>
      </c>
      <c r="D559" s="36">
        <v>45442</v>
      </c>
      <c r="E559" s="35" t="s">
        <v>4246</v>
      </c>
    </row>
    <row r="560" spans="1:5" x14ac:dyDescent="0.2">
      <c r="A560" s="34" t="str">
        <f>HYPERLINK("http://www.daganm.co.il/sku/MTP1020-1","MTP1020-1")</f>
        <v>MTP1020-1</v>
      </c>
      <c r="B560" t="s">
        <v>6</v>
      </c>
      <c r="C560" s="2" t="s">
        <v>3724</v>
      </c>
      <c r="D560" s="36"/>
      <c r="E560" s="35" t="s">
        <v>3976</v>
      </c>
    </row>
    <row r="561" spans="1:5" x14ac:dyDescent="0.2">
      <c r="A561" s="34" t="str">
        <f>HYPERLINK("http://www.daganm.co.il/sku/MTP1020-2","MTP1020-2")</f>
        <v>MTP1020-2</v>
      </c>
      <c r="B561" t="s">
        <v>6</v>
      </c>
      <c r="C561" s="2" t="s">
        <v>3519</v>
      </c>
      <c r="D561" s="32"/>
      <c r="E561" s="32" t="s">
        <v>3619</v>
      </c>
    </row>
    <row r="562" spans="1:5" x14ac:dyDescent="0.2">
      <c r="A562" s="34" t="str">
        <f>HYPERLINK("http://www.daganm.co.il/sku/MTP1020-3","MTP1020-3")</f>
        <v>MTP1020-3</v>
      </c>
      <c r="B562" t="s">
        <v>6</v>
      </c>
      <c r="C562" s="2" t="s">
        <v>3520</v>
      </c>
      <c r="D562" s="32"/>
      <c r="E562" s="35" t="s">
        <v>3620</v>
      </c>
    </row>
    <row r="563" spans="1:5" x14ac:dyDescent="0.2">
      <c r="A563" s="34" t="str">
        <f>HYPERLINK("http://www.daganm.co.il/sku/MTP1020-5","MTP1020-5")</f>
        <v>MTP1020-5</v>
      </c>
      <c r="B563" t="s">
        <v>6</v>
      </c>
      <c r="C563" s="2" t="s">
        <v>3521</v>
      </c>
      <c r="D563" s="32"/>
      <c r="E563" s="35" t="s">
        <v>3621</v>
      </c>
    </row>
    <row r="564" spans="1:5" x14ac:dyDescent="0.2">
      <c r="A564" s="34" t="str">
        <f>HYPERLINK("http://www.daganm.co.il/sku/MTP2130-2","MTP2130-2")</f>
        <v>MTP2130-2</v>
      </c>
      <c r="B564" t="s">
        <v>6</v>
      </c>
      <c r="C564" s="2" t="s">
        <v>3522</v>
      </c>
      <c r="D564" s="32"/>
      <c r="E564" s="35" t="s">
        <v>3622</v>
      </c>
    </row>
    <row r="565" spans="1:5" x14ac:dyDescent="0.2">
      <c r="A565" s="34" t="str">
        <f>HYPERLINK("http://www.daganm.co.il/sku/MTP2130-3","MTP2130-3")</f>
        <v>MTP2130-3</v>
      </c>
      <c r="B565" t="s">
        <v>6</v>
      </c>
      <c r="C565" s="2" t="s">
        <v>3523</v>
      </c>
      <c r="D565" s="32"/>
      <c r="E565" s="32" t="s">
        <v>3623</v>
      </c>
    </row>
    <row r="566" spans="1:5" x14ac:dyDescent="0.2">
      <c r="A566" s="34" t="str">
        <f>HYPERLINK("http://www.daganm.co.il/sku/MTP2130-5","MTP2130-5")</f>
        <v>MTP2130-5</v>
      </c>
      <c r="B566" t="s">
        <v>6</v>
      </c>
      <c r="C566" s="2" t="s">
        <v>4100</v>
      </c>
      <c r="D566" s="32"/>
      <c r="E566" s="32" t="s">
        <v>3977</v>
      </c>
    </row>
    <row r="567" spans="1:5" ht="16.5" x14ac:dyDescent="0.25">
      <c r="B567"/>
      <c r="C567" s="31" t="s">
        <v>3524</v>
      </c>
      <c r="D567" s="32"/>
      <c r="E567" s="35"/>
    </row>
    <row r="568" spans="1:5" x14ac:dyDescent="0.2">
      <c r="B568"/>
      <c r="C568" s="33" t="s">
        <v>3267</v>
      </c>
      <c r="D568" s="32"/>
      <c r="E568" s="35"/>
    </row>
    <row r="569" spans="1:5" x14ac:dyDescent="0.2">
      <c r="A569" s="34" t="str">
        <f>HYPERLINK("http://www.daganm.co.il/sku/DRM0104-100","DRM0104-100")</f>
        <v>DRM0104-100</v>
      </c>
      <c r="B569" t="s">
        <v>6</v>
      </c>
      <c r="C569" s="2" t="s">
        <v>3268</v>
      </c>
      <c r="D569" s="32"/>
      <c r="E569" s="35" t="s">
        <v>3407</v>
      </c>
    </row>
    <row r="570" spans="1:5" x14ac:dyDescent="0.2">
      <c r="A570" s="34" t="str">
        <f>HYPERLINK("http://www.daganm.co.il/sku/DRM0104-200","DRM0104-200")</f>
        <v>DRM0104-200</v>
      </c>
      <c r="B570" t="s">
        <v>6</v>
      </c>
      <c r="C570" s="2" t="s">
        <v>3269</v>
      </c>
      <c r="D570" s="32"/>
      <c r="E570" s="35" t="s">
        <v>3408</v>
      </c>
    </row>
    <row r="571" spans="1:5" x14ac:dyDescent="0.2">
      <c r="A571" s="34" t="str">
        <f>HYPERLINK("http://www.daganm.co.il/sku/DRM0108-100","DRM0108-100")</f>
        <v>DRM0108-100</v>
      </c>
      <c r="B571" t="s">
        <v>6</v>
      </c>
      <c r="C571" s="2" t="s">
        <v>3725</v>
      </c>
      <c r="D571" s="32"/>
      <c r="E571" s="35" t="s">
        <v>3978</v>
      </c>
    </row>
    <row r="572" spans="1:5" x14ac:dyDescent="0.2">
      <c r="A572" s="34" t="str">
        <f>HYPERLINK("http://www.daganm.co.il/sku/DRM0108-200","DRM0108-200")</f>
        <v>DRM0108-200</v>
      </c>
      <c r="B572" t="s">
        <v>6</v>
      </c>
      <c r="C572" s="2" t="s">
        <v>3270</v>
      </c>
      <c r="D572" s="32"/>
      <c r="E572" s="35" t="s">
        <v>3409</v>
      </c>
    </row>
    <row r="573" spans="1:5" x14ac:dyDescent="0.2">
      <c r="A573" s="37" t="str">
        <f>HYPERLINK("http://www.daganm.co.il/sku/DRM0108-300","DRM0108-300")</f>
        <v>DRM0108-300</v>
      </c>
      <c r="B573" t="s">
        <v>6</v>
      </c>
      <c r="C573" s="2" t="s">
        <v>4101</v>
      </c>
      <c r="D573" s="32"/>
      <c r="E573" s="35" t="s">
        <v>4247</v>
      </c>
    </row>
    <row r="574" spans="1:5" x14ac:dyDescent="0.2">
      <c r="A574" s="34" t="str">
        <f>HYPERLINK("http://www.daganm.co.il/sku/DRM0304-100","DRM0304-100")</f>
        <v>DRM0304-100</v>
      </c>
      <c r="B574" t="s">
        <v>6</v>
      </c>
      <c r="C574" s="2" t="s">
        <v>3271</v>
      </c>
      <c r="D574" s="32"/>
      <c r="E574" s="35" t="s">
        <v>3410</v>
      </c>
    </row>
    <row r="575" spans="1:5" x14ac:dyDescent="0.2">
      <c r="A575" s="34" t="str">
        <f>HYPERLINK("http://www.daganm.co.il/sku/DRM0304-200","DRM0304-200")</f>
        <v>DRM0304-200</v>
      </c>
      <c r="B575" t="s">
        <v>6</v>
      </c>
      <c r="C575" s="2" t="s">
        <v>3272</v>
      </c>
      <c r="D575" s="32"/>
      <c r="E575" s="35" t="s">
        <v>3411</v>
      </c>
    </row>
    <row r="576" spans="1:5" x14ac:dyDescent="0.2">
      <c r="A576" s="34" t="str">
        <f>HYPERLINK("http://www.daganm.co.il/sku/DRM0308-100","DRM0308-100")</f>
        <v>DRM0308-100</v>
      </c>
      <c r="B576" t="s">
        <v>6</v>
      </c>
      <c r="C576" s="2" t="s">
        <v>3273</v>
      </c>
      <c r="D576" s="32"/>
      <c r="E576" s="35" t="s">
        <v>3412</v>
      </c>
    </row>
    <row r="577" spans="1:5" x14ac:dyDescent="0.2">
      <c r="A577" s="34" t="str">
        <f>HYPERLINK("http://www.daganm.co.il/sku/DRM0308-200","DRM0308-200")</f>
        <v>DRM0308-200</v>
      </c>
      <c r="B577" t="s">
        <v>6</v>
      </c>
      <c r="C577" s="2" t="s">
        <v>3274</v>
      </c>
      <c r="D577" s="32"/>
      <c r="E577" s="35" t="s">
        <v>3413</v>
      </c>
    </row>
    <row r="578" spans="1:5" x14ac:dyDescent="0.2">
      <c r="A578" s="37" t="str">
        <f>HYPERLINK("http://www.daganm.co.il/sku/DRM0308-300","DRM0308-300")</f>
        <v>DRM0308-300</v>
      </c>
      <c r="B578" t="s">
        <v>6</v>
      </c>
      <c r="C578" s="2" t="s">
        <v>4102</v>
      </c>
      <c r="D578" s="32"/>
      <c r="E578" s="35" t="s">
        <v>4248</v>
      </c>
    </row>
    <row r="579" spans="1:5" x14ac:dyDescent="0.2">
      <c r="A579" s="34" t="str">
        <f>HYPERLINK("http://www.daganm.co.il/sku/DRM-CNP1","DRM-CNP1")</f>
        <v>DRM-CNP1</v>
      </c>
      <c r="B579" t="s">
        <v>6</v>
      </c>
      <c r="C579" s="2" t="s">
        <v>4103</v>
      </c>
      <c r="D579" s="32"/>
      <c r="E579" s="35" t="s">
        <v>3414</v>
      </c>
    </row>
    <row r="580" spans="1:5" x14ac:dyDescent="0.2">
      <c r="B580"/>
      <c r="C580" s="33" t="s">
        <v>3525</v>
      </c>
      <c r="D580" s="32"/>
      <c r="E580" s="35"/>
    </row>
    <row r="581" spans="1:5" x14ac:dyDescent="0.2">
      <c r="A581" s="34" t="str">
        <f>HYPERLINK("http://www.daganm.co.il/sku/DRM1501-50","DRM1501-50")</f>
        <v>DRM1501-50</v>
      </c>
      <c r="B581" t="s">
        <v>6</v>
      </c>
      <c r="C581" s="2" t="s">
        <v>3526</v>
      </c>
      <c r="D581" s="32"/>
      <c r="E581" s="35" t="s">
        <v>3624</v>
      </c>
    </row>
    <row r="582" spans="1:5" x14ac:dyDescent="0.2">
      <c r="A582" s="34" t="str">
        <f>HYPERLINK("http://www.daganm.co.il/sku/DRM1501-75","DRM1501-75")</f>
        <v>DRM1501-75</v>
      </c>
      <c r="B582" t="s">
        <v>6</v>
      </c>
      <c r="C582" s="2" t="s">
        <v>3527</v>
      </c>
      <c r="D582" s="32"/>
      <c r="E582" s="35" t="s">
        <v>3625</v>
      </c>
    </row>
    <row r="583" spans="1:5" x14ac:dyDescent="0.2">
      <c r="A583" s="34" t="str">
        <f>HYPERLINK("http://www.daganm.co.il/sku/DRM1501-100","DRM1501-100")</f>
        <v>DRM1501-100</v>
      </c>
      <c r="B583" t="s">
        <v>6</v>
      </c>
      <c r="C583" s="2" t="s">
        <v>3528</v>
      </c>
      <c r="D583" s="32"/>
      <c r="E583" s="35" t="s">
        <v>3626</v>
      </c>
    </row>
    <row r="584" spans="1:5" x14ac:dyDescent="0.2">
      <c r="B584"/>
      <c r="C584" s="33" t="s">
        <v>3370</v>
      </c>
      <c r="D584" s="32"/>
      <c r="E584" s="35"/>
    </row>
    <row r="585" spans="1:5" x14ac:dyDescent="0.2">
      <c r="A585" s="34" t="str">
        <f>HYPERLINK("http://www.daganm.co.il/sku/DRM10235","DRM10235")</f>
        <v>DRM10235</v>
      </c>
      <c r="B585" t="s">
        <v>6</v>
      </c>
      <c r="C585" s="2" t="s">
        <v>3371</v>
      </c>
      <c r="D585" s="32"/>
      <c r="E585" s="35" t="s">
        <v>3502</v>
      </c>
    </row>
    <row r="586" spans="1:5" x14ac:dyDescent="0.2">
      <c r="A586" s="34" t="str">
        <f>HYPERLINK("http://www.daganm.co.il/sku/DRM10310","DRM10310")</f>
        <v>DRM10310</v>
      </c>
      <c r="B586" t="s">
        <v>6</v>
      </c>
      <c r="C586" s="2" t="s">
        <v>3372</v>
      </c>
      <c r="D586" s="32"/>
      <c r="E586" s="35" t="s">
        <v>3503</v>
      </c>
    </row>
    <row r="587" spans="1:5" x14ac:dyDescent="0.2">
      <c r="A587" s="34" t="str">
        <f>HYPERLINK("http://www.daganm.co.il/sku/DRM10380","DRM10380")</f>
        <v>DRM10380</v>
      </c>
      <c r="B587" t="s">
        <v>6</v>
      </c>
      <c r="C587" s="2" t="s">
        <v>3373</v>
      </c>
      <c r="D587" s="32"/>
      <c r="E587" s="35" t="s">
        <v>3504</v>
      </c>
    </row>
    <row r="588" spans="1:5" ht="16.5" x14ac:dyDescent="0.25">
      <c r="B588"/>
      <c r="C588" s="31" t="s">
        <v>17</v>
      </c>
      <c r="D588" s="32"/>
      <c r="E588" s="35"/>
    </row>
    <row r="589" spans="1:5" x14ac:dyDescent="0.2">
      <c r="B589"/>
      <c r="C589" s="33" t="s">
        <v>3275</v>
      </c>
      <c r="D589" s="32"/>
      <c r="E589" s="35"/>
    </row>
    <row r="590" spans="1:5" x14ac:dyDescent="0.2">
      <c r="A590" s="34" t="str">
        <f>HYPERLINK("http://www.daganm.co.il/sku/OPT500-1.5","OPT500-1.5")</f>
        <v>OPT500-1.5</v>
      </c>
      <c r="B590" t="s">
        <v>556</v>
      </c>
      <c r="C590" s="2" t="s">
        <v>557</v>
      </c>
      <c r="D590" s="32"/>
      <c r="E590" s="35" t="s">
        <v>3415</v>
      </c>
    </row>
    <row r="591" spans="1:5" x14ac:dyDescent="0.2">
      <c r="A591" s="34" t="str">
        <f>HYPERLINK("http://www.daganm.co.il/sku/OPT501-1.5","OPT501-1.5")</f>
        <v>OPT501-1.5</v>
      </c>
      <c r="B591" t="s">
        <v>556</v>
      </c>
      <c r="C591" s="2" t="s">
        <v>558</v>
      </c>
      <c r="D591" s="32"/>
      <c r="E591" s="35" t="s">
        <v>2058</v>
      </c>
    </row>
    <row r="592" spans="1:5" x14ac:dyDescent="0.2">
      <c r="A592" s="34" t="str">
        <f>HYPERLINK("http://www.daganm.co.il/sku/OPT502-1.5","OPT502-1.5")</f>
        <v>OPT502-1.5</v>
      </c>
      <c r="B592" t="s">
        <v>556</v>
      </c>
      <c r="C592" s="2" t="s">
        <v>559</v>
      </c>
      <c r="D592" s="32"/>
      <c r="E592" s="35" t="s">
        <v>2059</v>
      </c>
    </row>
    <row r="593" spans="1:5" x14ac:dyDescent="0.2">
      <c r="A593" s="34" t="str">
        <f>HYPERLINK("http://www.daganm.co.il/sku/OPT510-1.5","OPT510-1.5")</f>
        <v>OPT510-1.5</v>
      </c>
      <c r="B593" t="s">
        <v>556</v>
      </c>
      <c r="C593" s="2" t="s">
        <v>560</v>
      </c>
      <c r="D593" s="32"/>
      <c r="E593" s="32" t="s">
        <v>2060</v>
      </c>
    </row>
    <row r="594" spans="1:5" x14ac:dyDescent="0.2">
      <c r="A594" s="34" t="str">
        <f>HYPERLINK("http://www.daganm.co.il/sku/OPT511-1.5","OPT511-1.5")</f>
        <v>OPT511-1.5</v>
      </c>
      <c r="B594" t="s">
        <v>556</v>
      </c>
      <c r="C594" s="2" t="s">
        <v>561</v>
      </c>
      <c r="D594" s="32"/>
      <c r="E594" s="35" t="s">
        <v>2061</v>
      </c>
    </row>
    <row r="595" spans="1:5" x14ac:dyDescent="0.2">
      <c r="A595" s="34" t="str">
        <f>HYPERLINK("http://www.daganm.co.il/sku/OPT512-1.5","OPT512-1.5")</f>
        <v>OPT512-1.5</v>
      </c>
      <c r="B595" t="s">
        <v>556</v>
      </c>
      <c r="C595" s="2" t="s">
        <v>562</v>
      </c>
      <c r="D595" s="32"/>
      <c r="E595" s="35" t="s">
        <v>2062</v>
      </c>
    </row>
    <row r="596" spans="1:5" x14ac:dyDescent="0.2">
      <c r="A596" s="34" t="str">
        <f>HYPERLINK("http://www.daganm.co.il/sku/OPT520-1.5","OPT520-1.5")</f>
        <v>OPT520-1.5</v>
      </c>
      <c r="B596" t="s">
        <v>556</v>
      </c>
      <c r="C596" s="2" t="s">
        <v>563</v>
      </c>
      <c r="D596" s="32"/>
      <c r="E596" s="35" t="s">
        <v>2063</v>
      </c>
    </row>
    <row r="597" spans="1:5" x14ac:dyDescent="0.2">
      <c r="A597" s="34" t="str">
        <f>HYPERLINK("http://www.daganm.co.il/sku/OPT521-1.5","OPT521-1.5")</f>
        <v>OPT521-1.5</v>
      </c>
      <c r="B597" t="s">
        <v>556</v>
      </c>
      <c r="C597" s="2" t="s">
        <v>564</v>
      </c>
      <c r="D597" s="32"/>
      <c r="E597" s="35" t="s">
        <v>2064</v>
      </c>
    </row>
    <row r="598" spans="1:5" x14ac:dyDescent="0.2">
      <c r="A598" s="34" t="str">
        <f>HYPERLINK("http://www.daganm.co.il/sku/OPT530-1.5","OPT530-1.5")</f>
        <v>OPT530-1.5</v>
      </c>
      <c r="B598" t="s">
        <v>556</v>
      </c>
      <c r="C598" s="2" t="s">
        <v>565</v>
      </c>
      <c r="D598" s="32"/>
      <c r="E598" s="35" t="s">
        <v>2065</v>
      </c>
    </row>
    <row r="599" spans="1:5" x14ac:dyDescent="0.2">
      <c r="A599" s="34" t="str">
        <f>HYPERLINK("http://www.daganm.co.il/sku/OPT540-1.5","OPT540-1.5")</f>
        <v>OPT540-1.5</v>
      </c>
      <c r="B599" t="s">
        <v>556</v>
      </c>
      <c r="C599" s="2" t="s">
        <v>566</v>
      </c>
      <c r="D599" s="32"/>
      <c r="E599" s="35" t="s">
        <v>2066</v>
      </c>
    </row>
    <row r="600" spans="1:5" x14ac:dyDescent="0.2">
      <c r="A600" s="34" t="str">
        <f>HYPERLINK("http://www.daganm.co.il/sku/OPT531-1.5","OPT531-1.5")</f>
        <v>OPT531-1.5</v>
      </c>
      <c r="B600" t="s">
        <v>556</v>
      </c>
      <c r="C600" s="2" t="s">
        <v>567</v>
      </c>
      <c r="D600" s="32"/>
      <c r="E600" s="35" t="s">
        <v>2067</v>
      </c>
    </row>
    <row r="601" spans="1:5" x14ac:dyDescent="0.2">
      <c r="A601" s="34" t="str">
        <f>HYPERLINK("http://www.daganm.co.il/sku/OPT541-1.5","OPT541-1.5")</f>
        <v>OPT541-1.5</v>
      </c>
      <c r="B601" t="s">
        <v>556</v>
      </c>
      <c r="C601" s="2" t="s">
        <v>568</v>
      </c>
      <c r="D601" s="32"/>
      <c r="E601" s="35" t="s">
        <v>2068</v>
      </c>
    </row>
    <row r="602" spans="1:5" x14ac:dyDescent="0.2">
      <c r="A602" s="34" t="str">
        <f>HYPERLINK("http://www.daganm.co.il/sku/OPT532-1.5","OPT532-1.5")</f>
        <v>OPT532-1.5</v>
      </c>
      <c r="B602" t="s">
        <v>556</v>
      </c>
      <c r="C602" s="2" t="s">
        <v>569</v>
      </c>
      <c r="D602" s="32"/>
      <c r="E602" s="35" t="s">
        <v>2069</v>
      </c>
    </row>
    <row r="603" spans="1:5" x14ac:dyDescent="0.2">
      <c r="A603" s="34" t="str">
        <f>HYPERLINK("http://www.daganm.co.il/sku/OPT502-1","OPT502-1")</f>
        <v>OPT502-1</v>
      </c>
      <c r="B603" t="s">
        <v>556</v>
      </c>
      <c r="C603" s="2" t="s">
        <v>570</v>
      </c>
      <c r="D603" s="32"/>
      <c r="E603" s="35" t="s">
        <v>2070</v>
      </c>
    </row>
    <row r="604" spans="1:5" x14ac:dyDescent="0.2">
      <c r="A604" s="34" t="str">
        <f>HYPERLINK("http://www.daganm.co.il/sku/OPT521-1","OPT521-1")</f>
        <v>OPT521-1</v>
      </c>
      <c r="B604" t="s">
        <v>556</v>
      </c>
      <c r="C604" s="2" t="s">
        <v>571</v>
      </c>
      <c r="D604" s="32"/>
      <c r="E604" s="35" t="s">
        <v>2071</v>
      </c>
    </row>
    <row r="605" spans="1:5" x14ac:dyDescent="0.2">
      <c r="A605" s="34" t="str">
        <f>HYPERLINK("http://www.daganm.co.il/sku/SLEEVE2540","SLEEVE2540")</f>
        <v>SLEEVE2540</v>
      </c>
      <c r="B605" t="s">
        <v>3276</v>
      </c>
      <c r="C605" s="2" t="s">
        <v>3277</v>
      </c>
      <c r="D605" s="36"/>
      <c r="E605" s="35" t="s">
        <v>3416</v>
      </c>
    </row>
    <row r="606" spans="1:5" x14ac:dyDescent="0.2">
      <c r="A606" s="34" t="str">
        <f>HYPERLINK("http://www.daganm.co.il/sku/SLEEVE2560","SLEEVE2560")</f>
        <v>SLEEVE2560</v>
      </c>
      <c r="B606" t="s">
        <v>3276</v>
      </c>
      <c r="C606" s="2" t="s">
        <v>3278</v>
      </c>
      <c r="D606" s="32"/>
      <c r="E606" s="35" t="s">
        <v>3417</v>
      </c>
    </row>
    <row r="607" spans="1:5" x14ac:dyDescent="0.2">
      <c r="A607" s="34" t="str">
        <f>HYPERLINK("http://www.daganm.co.il/sku/SLEEVE340","SLEEVE340")</f>
        <v>SLEEVE340</v>
      </c>
      <c r="B607" t="s">
        <v>3276</v>
      </c>
      <c r="C607" s="2" t="s">
        <v>3279</v>
      </c>
      <c r="D607" s="32"/>
      <c r="E607" s="35" t="s">
        <v>3418</v>
      </c>
    </row>
    <row r="608" spans="1:5" x14ac:dyDescent="0.2">
      <c r="A608" s="34" t="str">
        <f>HYPERLINK("http://www.daganm.co.il/sku/SLEEVE360","SLEEVE360")</f>
        <v>SLEEVE360</v>
      </c>
      <c r="B608" t="s">
        <v>3276</v>
      </c>
      <c r="C608" s="2" t="s">
        <v>3280</v>
      </c>
      <c r="D608" s="32"/>
      <c r="E608" s="35" t="s">
        <v>3419</v>
      </c>
    </row>
    <row r="609" spans="1:5" x14ac:dyDescent="0.2">
      <c r="A609" s="34" t="str">
        <f>HYPERLINK("http://www.daganm.co.il/sku/SLEEVE3540","SLEEVE3540")</f>
        <v>SLEEVE3540</v>
      </c>
      <c r="B609" t="s">
        <v>3276</v>
      </c>
      <c r="C609" s="2" t="s">
        <v>4104</v>
      </c>
      <c r="D609" s="32"/>
      <c r="E609" s="35" t="s">
        <v>4249</v>
      </c>
    </row>
    <row r="610" spans="1:5" x14ac:dyDescent="0.2">
      <c r="A610" s="34" t="str">
        <f>HYPERLINK("http://www.daganm.co.il/sku/SLEEVE3560","SLEEVE3560")</f>
        <v>SLEEVE3560</v>
      </c>
      <c r="B610" t="s">
        <v>3276</v>
      </c>
      <c r="C610" s="2" t="s">
        <v>3529</v>
      </c>
      <c r="D610" s="32"/>
      <c r="E610" s="35" t="s">
        <v>3627</v>
      </c>
    </row>
    <row r="611" spans="1:5" x14ac:dyDescent="0.2">
      <c r="A611" s="34" t="str">
        <f>HYPERLINK("http://www.daganm.co.il/sku/SLEEVE440","SLEEVE440")</f>
        <v>SLEEVE440</v>
      </c>
      <c r="B611" t="s">
        <v>3276</v>
      </c>
      <c r="C611" s="2" t="s">
        <v>4105</v>
      </c>
      <c r="D611" s="32"/>
      <c r="E611" s="35" t="s">
        <v>4250</v>
      </c>
    </row>
    <row r="612" spans="1:5" x14ac:dyDescent="0.2">
      <c r="A612" s="34" t="str">
        <f>HYPERLINK("http://www.daganm.co.il/sku/OPT-SPTRAY12","OPT-SPTRAY12")</f>
        <v>OPT-SPTRAY12</v>
      </c>
      <c r="B612" t="s">
        <v>6</v>
      </c>
      <c r="C612" s="2" t="s">
        <v>572</v>
      </c>
      <c r="D612" s="32"/>
      <c r="E612" s="35" t="s">
        <v>2072</v>
      </c>
    </row>
    <row r="613" spans="1:5" x14ac:dyDescent="0.2">
      <c r="A613" s="34" t="str">
        <f>HYPERLINK("http://www.daganm.co.il/sku/OPT-SPTRAY20","OPT-SPTRAY20")</f>
        <v>OPT-SPTRAY20</v>
      </c>
      <c r="B613" t="s">
        <v>6</v>
      </c>
      <c r="C613" s="2" t="s">
        <v>573</v>
      </c>
      <c r="D613" s="32"/>
      <c r="E613" s="35" t="s">
        <v>2073</v>
      </c>
    </row>
    <row r="614" spans="1:5" x14ac:dyDescent="0.2">
      <c r="B614"/>
      <c r="C614" s="33" t="s">
        <v>18</v>
      </c>
      <c r="D614" s="32"/>
      <c r="E614" s="35"/>
    </row>
    <row r="615" spans="1:5" x14ac:dyDescent="0.2">
      <c r="A615" s="34" t="str">
        <f>HYPERLINK("http://www.daganm.co.il/sku/OPTA15-BLU","OPTA15-BLU")</f>
        <v>OPTA15-BLU</v>
      </c>
      <c r="B615" t="s">
        <v>6</v>
      </c>
      <c r="C615" s="2" t="s">
        <v>3281</v>
      </c>
      <c r="D615" s="32"/>
      <c r="E615" s="35" t="s">
        <v>3420</v>
      </c>
    </row>
    <row r="616" spans="1:5" x14ac:dyDescent="0.2">
      <c r="A616" s="34" t="str">
        <f>HYPERLINK("http://www.daganm.co.il/sku/OPTA15-APC","OPTA15-APC")</f>
        <v>OPTA15-APC</v>
      </c>
      <c r="B616" t="s">
        <v>6</v>
      </c>
      <c r="C616" s="2" t="s">
        <v>574</v>
      </c>
      <c r="D616" s="32"/>
      <c r="E616" s="35" t="s">
        <v>2074</v>
      </c>
    </row>
    <row r="617" spans="1:5" x14ac:dyDescent="0.2">
      <c r="A617" s="34" t="str">
        <f>HYPERLINK("http://www.daganm.co.il/sku/OPTA10-BLU","OPTA10-BLU")</f>
        <v>OPTA10-BLU</v>
      </c>
      <c r="B617" t="s">
        <v>6</v>
      </c>
      <c r="C617" s="2" t="s">
        <v>575</v>
      </c>
      <c r="D617" s="32"/>
      <c r="E617" s="35" t="s">
        <v>2075</v>
      </c>
    </row>
    <row r="618" spans="1:5" x14ac:dyDescent="0.2">
      <c r="A618" s="34" t="str">
        <f>HYPERLINK("http://www.daganm.co.il/sku/OPTA10-GRY","OPTA10-GRY")</f>
        <v>OPTA10-GRY</v>
      </c>
      <c r="B618" t="s">
        <v>6</v>
      </c>
      <c r="C618" s="2" t="s">
        <v>576</v>
      </c>
      <c r="D618" s="32">
        <v>45442</v>
      </c>
      <c r="E618" s="35" t="s">
        <v>2076</v>
      </c>
    </row>
    <row r="619" spans="1:5" x14ac:dyDescent="0.2">
      <c r="A619" s="34" t="str">
        <f>HYPERLINK("http://www.daganm.co.il/sku/OPTA10-TRQ","OPTA10-TRQ")</f>
        <v>OPTA10-TRQ</v>
      </c>
      <c r="B619" t="s">
        <v>6</v>
      </c>
      <c r="C619" s="2" t="s">
        <v>577</v>
      </c>
      <c r="D619" s="32"/>
      <c r="E619" s="35" t="s">
        <v>2077</v>
      </c>
    </row>
    <row r="620" spans="1:5" x14ac:dyDescent="0.2">
      <c r="A620" s="34" t="str">
        <f>HYPERLINK("http://www.daganm.co.il/sku/OPTA10-APC","OPTA10-APC")</f>
        <v>OPTA10-APC</v>
      </c>
      <c r="B620" t="s">
        <v>6</v>
      </c>
      <c r="C620" s="2" t="s">
        <v>3282</v>
      </c>
      <c r="D620" s="32"/>
      <c r="E620" s="32" t="s">
        <v>3421</v>
      </c>
    </row>
    <row r="621" spans="1:5" x14ac:dyDescent="0.2">
      <c r="A621" s="34" t="str">
        <f>HYPERLINK("http://www.daganm.co.il/sku/OPTA20-BLU","OPTA20-BLU")</f>
        <v>OPTA20-BLU</v>
      </c>
      <c r="B621" t="s">
        <v>6</v>
      </c>
      <c r="C621" s="2" t="s">
        <v>578</v>
      </c>
      <c r="D621" s="32"/>
      <c r="E621" s="32" t="s">
        <v>2078</v>
      </c>
    </row>
    <row r="622" spans="1:5" x14ac:dyDescent="0.2">
      <c r="A622" s="34" t="str">
        <f>HYPERLINK("http://www.daganm.co.il/sku/OPTA20-APC","OPTA20-APC")</f>
        <v>OPTA20-APC</v>
      </c>
      <c r="B622" t="s">
        <v>6</v>
      </c>
      <c r="C622" s="2" t="s">
        <v>579</v>
      </c>
      <c r="D622" s="36"/>
      <c r="E622" s="35" t="s">
        <v>2079</v>
      </c>
    </row>
    <row r="623" spans="1:5" x14ac:dyDescent="0.2">
      <c r="A623" s="34" t="str">
        <f>HYPERLINK("http://www.daganm.co.il/sku/OPTA20-GRY","OPTA20-GRY")</f>
        <v>OPTA20-GRY</v>
      </c>
      <c r="B623" t="s">
        <v>6</v>
      </c>
      <c r="C623" s="2" t="s">
        <v>580</v>
      </c>
      <c r="D623" s="32"/>
      <c r="E623" s="35" t="s">
        <v>2080</v>
      </c>
    </row>
    <row r="624" spans="1:5" x14ac:dyDescent="0.2">
      <c r="A624" s="34" t="str">
        <f>HYPERLINK("http://www.daganm.co.il/sku/OPTA20-TRQ","OPTA20-TRQ")</f>
        <v>OPTA20-TRQ</v>
      </c>
      <c r="B624" t="s">
        <v>6</v>
      </c>
      <c r="C624" s="2" t="s">
        <v>581</v>
      </c>
      <c r="D624" s="32"/>
      <c r="E624" s="35" t="s">
        <v>2081</v>
      </c>
    </row>
    <row r="625" spans="1:5" x14ac:dyDescent="0.2">
      <c r="A625" s="34" t="str">
        <f>HYPERLINK("http://www.daganm.co.il/sku/OPTA20-PUR","OPTA20-PUR")</f>
        <v>OPTA20-PUR</v>
      </c>
      <c r="B625" t="s">
        <v>6</v>
      </c>
      <c r="C625" s="2" t="s">
        <v>582</v>
      </c>
      <c r="D625" s="32"/>
      <c r="E625" s="35" t="s">
        <v>2082</v>
      </c>
    </row>
    <row r="626" spans="1:5" x14ac:dyDescent="0.2">
      <c r="A626" s="34" t="str">
        <f>HYPERLINK("http://www.daganm.co.il/sku/OPTA20-VIO","OPTA20-VIO")</f>
        <v>OPTA20-VIO</v>
      </c>
      <c r="B626" t="s">
        <v>6</v>
      </c>
      <c r="C626" s="2" t="s">
        <v>3726</v>
      </c>
      <c r="D626" s="32"/>
      <c r="E626" s="35" t="s">
        <v>3979</v>
      </c>
    </row>
    <row r="627" spans="1:5" x14ac:dyDescent="0.2">
      <c r="A627" s="34" t="str">
        <f>HYPERLINK("http://www.daganm.co.il/sku/OPTA25-GRY","OPTA25-GRY")</f>
        <v>OPTA25-GRY</v>
      </c>
      <c r="B627" t="s">
        <v>6</v>
      </c>
      <c r="C627" s="2" t="s">
        <v>583</v>
      </c>
      <c r="D627" s="36"/>
      <c r="E627" s="35" t="s">
        <v>2083</v>
      </c>
    </row>
    <row r="628" spans="1:5" x14ac:dyDescent="0.2">
      <c r="A628" s="34" t="str">
        <f>HYPERLINK("http://www.daganm.co.il/sku/OPTA25-TRQ","OPTA25-TRQ")</f>
        <v>OPTA25-TRQ</v>
      </c>
      <c r="B628" t="s">
        <v>6</v>
      </c>
      <c r="C628" s="2" t="s">
        <v>584</v>
      </c>
      <c r="D628" s="36"/>
      <c r="E628" s="35" t="s">
        <v>2084</v>
      </c>
    </row>
    <row r="629" spans="1:5" x14ac:dyDescent="0.2">
      <c r="A629" s="34" t="str">
        <f>HYPERLINK("http://www.daganm.co.il/sku/OPTA21-BLU","OPTA21-BLU")</f>
        <v>OPTA21-BLU</v>
      </c>
      <c r="B629" t="s">
        <v>6</v>
      </c>
      <c r="C629" s="2" t="s">
        <v>585</v>
      </c>
      <c r="D629" s="36"/>
      <c r="E629" s="35" t="s">
        <v>2085</v>
      </c>
    </row>
    <row r="630" spans="1:5" x14ac:dyDescent="0.2">
      <c r="A630" s="34" t="str">
        <f>HYPERLINK("http://www.daganm.co.il/sku/OPTA21-APC","OPTA21-APC")</f>
        <v>OPTA21-APC</v>
      </c>
      <c r="B630" t="s">
        <v>6</v>
      </c>
      <c r="C630" s="2" t="s">
        <v>586</v>
      </c>
      <c r="D630" s="32"/>
      <c r="E630" s="35" t="s">
        <v>2086</v>
      </c>
    </row>
    <row r="631" spans="1:5" x14ac:dyDescent="0.2">
      <c r="A631" s="34" t="str">
        <f>HYPERLINK("http://www.daganm.co.il/sku/OPTA21-GRY","OPTA21-GRY")</f>
        <v>OPTA21-GRY</v>
      </c>
      <c r="B631" t="s">
        <v>6</v>
      </c>
      <c r="C631" s="2" t="s">
        <v>587</v>
      </c>
      <c r="D631" s="32"/>
      <c r="E631" s="35" t="s">
        <v>2087</v>
      </c>
    </row>
    <row r="632" spans="1:5" x14ac:dyDescent="0.2">
      <c r="A632" s="34" t="str">
        <f>HYPERLINK("http://www.daganm.co.il/sku/OPTA21-TRQ","OPTA21-TRQ")</f>
        <v>OPTA21-TRQ</v>
      </c>
      <c r="B632" t="s">
        <v>6</v>
      </c>
      <c r="C632" s="2" t="s">
        <v>588</v>
      </c>
      <c r="D632" s="32"/>
      <c r="E632" s="35" t="s">
        <v>2088</v>
      </c>
    </row>
    <row r="633" spans="1:5" x14ac:dyDescent="0.2">
      <c r="A633" s="34" t="str">
        <f>HYPERLINK("http://www.daganm.co.il/sku/OPTA21-PUR","OPTA21-PUR")</f>
        <v>OPTA21-PUR</v>
      </c>
      <c r="B633" t="s">
        <v>6</v>
      </c>
      <c r="C633" s="2" t="s">
        <v>589</v>
      </c>
      <c r="D633" s="32"/>
      <c r="E633" s="35" t="s">
        <v>2089</v>
      </c>
    </row>
    <row r="634" spans="1:5" x14ac:dyDescent="0.2">
      <c r="A634" s="34" t="str">
        <f>HYPERLINK("http://www.daganm.co.il/sku/OPTA21-VIO","OPTA21-VIO")</f>
        <v>OPTA21-VIO</v>
      </c>
      <c r="B634" t="s">
        <v>6</v>
      </c>
      <c r="C634" s="2" t="s">
        <v>3727</v>
      </c>
      <c r="D634" s="32"/>
      <c r="E634" s="35" t="s">
        <v>2090</v>
      </c>
    </row>
    <row r="635" spans="1:5" x14ac:dyDescent="0.2">
      <c r="A635" s="34" t="str">
        <f>HYPERLINK("http://www.daganm.co.il/sku/OPTA31-1","OPTA31-1")</f>
        <v>OPTA31-1</v>
      </c>
      <c r="B635" t="s">
        <v>6</v>
      </c>
      <c r="C635" s="2" t="s">
        <v>590</v>
      </c>
      <c r="D635" s="32"/>
      <c r="E635" s="35" t="s">
        <v>2091</v>
      </c>
    </row>
    <row r="636" spans="1:5" x14ac:dyDescent="0.2">
      <c r="A636" s="34" t="str">
        <f>HYPERLINK("http://www.daganm.co.il/sku/OPTA31-2","OPTA31-2")</f>
        <v>OPTA31-2</v>
      </c>
      <c r="B636" t="s">
        <v>6</v>
      </c>
      <c r="C636" s="2" t="s">
        <v>591</v>
      </c>
      <c r="D636" s="32"/>
      <c r="E636" s="35" t="s">
        <v>2092</v>
      </c>
    </row>
    <row r="637" spans="1:5" x14ac:dyDescent="0.2">
      <c r="A637" s="34" t="str">
        <f>HYPERLINK("http://www.daganm.co.il/sku/OPTA30-1","OPTA30-1")</f>
        <v>OPTA30-1</v>
      </c>
      <c r="B637" t="s">
        <v>6</v>
      </c>
      <c r="C637" s="2" t="s">
        <v>592</v>
      </c>
      <c r="D637" s="32"/>
      <c r="E637" s="35" t="s">
        <v>2093</v>
      </c>
    </row>
    <row r="638" spans="1:5" x14ac:dyDescent="0.2">
      <c r="A638" s="34" t="str">
        <f>HYPERLINK("http://www.daganm.co.il/sku/OPTA45-1","OPTA45-1")</f>
        <v>OPTA45-1</v>
      </c>
      <c r="B638" t="s">
        <v>6</v>
      </c>
      <c r="C638" s="2" t="s">
        <v>593</v>
      </c>
      <c r="D638" s="32"/>
      <c r="E638" s="35" t="s">
        <v>2094</v>
      </c>
    </row>
    <row r="639" spans="1:5" x14ac:dyDescent="0.2">
      <c r="A639" s="34" t="str">
        <f>HYPERLINK("http://www.daganm.co.il/sku/OPTA41-1","OPTA41-1")</f>
        <v>OPTA41-1</v>
      </c>
      <c r="B639" t="s">
        <v>6</v>
      </c>
      <c r="C639" s="2" t="s">
        <v>594</v>
      </c>
      <c r="D639" s="32"/>
      <c r="E639" s="35" t="s">
        <v>2095</v>
      </c>
    </row>
    <row r="640" spans="1:5" x14ac:dyDescent="0.2">
      <c r="A640" s="34" t="str">
        <f>HYPERLINK("http://www.daganm.co.il/sku/OPTA41-2","OPTA41-2")</f>
        <v>OPTA41-2</v>
      </c>
      <c r="B640" t="s">
        <v>6</v>
      </c>
      <c r="C640" s="2" t="s">
        <v>595</v>
      </c>
      <c r="D640" s="36"/>
      <c r="E640" s="35" t="s">
        <v>2096</v>
      </c>
    </row>
    <row r="641" spans="1:5" ht="16.5" x14ac:dyDescent="0.25">
      <c r="B641"/>
      <c r="C641" s="31" t="s">
        <v>3283</v>
      </c>
      <c r="D641" s="32"/>
      <c r="E641" s="35"/>
    </row>
    <row r="642" spans="1:5" x14ac:dyDescent="0.2">
      <c r="B642"/>
      <c r="C642" s="33" t="s">
        <v>3284</v>
      </c>
      <c r="D642" s="32"/>
      <c r="E642" s="35"/>
    </row>
    <row r="643" spans="1:5" x14ac:dyDescent="0.2">
      <c r="A643" s="34" t="str">
        <f>HYPERLINK("http://www.daganm.co.il/sku/KIDUD","KIDUD")</f>
        <v>KIDUD</v>
      </c>
      <c r="B643" t="s">
        <v>6</v>
      </c>
      <c r="C643" s="2" t="s">
        <v>3285</v>
      </c>
      <c r="D643" s="32"/>
      <c r="E643" s="35" t="s">
        <v>3628</v>
      </c>
    </row>
    <row r="644" spans="1:5" x14ac:dyDescent="0.2">
      <c r="A644" s="34" t="str">
        <f>HYPERLINK("http://www.daganm.co.il/sku/QSFP701-150","QSFP701-150")</f>
        <v>QSFP701-150</v>
      </c>
      <c r="B644" t="s">
        <v>6</v>
      </c>
      <c r="C644" s="2" t="s">
        <v>596</v>
      </c>
      <c r="D644" s="32"/>
      <c r="E644" s="35" t="s">
        <v>2097</v>
      </c>
    </row>
    <row r="645" spans="1:5" x14ac:dyDescent="0.2">
      <c r="A645" s="34" t="str">
        <f>HYPERLINK("http://www.daganm.co.il/sku/QSFP701/JP-150","QSFP701/JP-150")</f>
        <v>QSFP701/JP-150</v>
      </c>
      <c r="B645" t="s">
        <v>6</v>
      </c>
      <c r="C645" s="2" t="s">
        <v>3530</v>
      </c>
      <c r="D645" s="32"/>
      <c r="E645" s="35" t="s">
        <v>3629</v>
      </c>
    </row>
    <row r="646" spans="1:5" x14ac:dyDescent="0.2">
      <c r="A646" s="34" t="str">
        <f>HYPERLINK("http://www.daganm.co.il/sku/QSFP712-100","QSFP712-100")</f>
        <v>QSFP712-100</v>
      </c>
      <c r="B646" t="s">
        <v>6</v>
      </c>
      <c r="C646" s="2" t="s">
        <v>597</v>
      </c>
      <c r="D646" s="32"/>
      <c r="E646" s="35" t="s">
        <v>2098</v>
      </c>
    </row>
    <row r="647" spans="1:5" x14ac:dyDescent="0.2">
      <c r="A647" s="34" t="str">
        <f>HYPERLINK("http://www.daganm.co.il/sku/QSFP712/JP-100","QSFP712/JP-100")</f>
        <v>QSFP712/JP-100</v>
      </c>
      <c r="B647" t="s">
        <v>6</v>
      </c>
      <c r="C647" s="2" t="s">
        <v>3531</v>
      </c>
      <c r="D647" s="32"/>
      <c r="E647" s="35" t="s">
        <v>3630</v>
      </c>
    </row>
    <row r="648" spans="1:5" x14ac:dyDescent="0.2">
      <c r="A648" s="34" t="str">
        <f>HYPERLINK("http://www.daganm.co.il/sku/QSFP801-10KM","QSFP801-10KM")</f>
        <v>QSFP801-10KM</v>
      </c>
      <c r="B648" t="s">
        <v>6</v>
      </c>
      <c r="C648" s="2" t="s">
        <v>3286</v>
      </c>
      <c r="D648" s="32" t="s">
        <v>4251</v>
      </c>
      <c r="E648" s="35" t="s">
        <v>3422</v>
      </c>
    </row>
    <row r="649" spans="1:5" x14ac:dyDescent="0.2">
      <c r="A649" s="34" t="str">
        <f>HYPERLINK("http://www.daganm.co.il/sku/QSFP803-10KM","QSFP803-10KM")</f>
        <v>QSFP803-10KM</v>
      </c>
      <c r="B649" t="s">
        <v>6</v>
      </c>
      <c r="C649" s="2" t="s">
        <v>3287</v>
      </c>
      <c r="D649" s="32" t="s">
        <v>4251</v>
      </c>
      <c r="E649" s="35" t="s">
        <v>3423</v>
      </c>
    </row>
    <row r="650" spans="1:5" x14ac:dyDescent="0.2">
      <c r="A650" s="34" t="str">
        <f>HYPERLINK("http://www.daganm.co.il/sku/QSFP812-10KM","QSFP812-10KM")</f>
        <v>QSFP812-10KM</v>
      </c>
      <c r="B650" t="s">
        <v>6</v>
      </c>
      <c r="C650" s="2" t="s">
        <v>3288</v>
      </c>
      <c r="D650" s="32" t="s">
        <v>4251</v>
      </c>
      <c r="E650" s="35" t="s">
        <v>3424</v>
      </c>
    </row>
    <row r="651" spans="1:5" x14ac:dyDescent="0.2">
      <c r="A651" s="34" t="str">
        <f>HYPERLINK("http://www.daganm.co.il/sku/QSFP812-20KM","QSFP812-20KM")</f>
        <v>QSFP812-20KM</v>
      </c>
      <c r="B651" t="s">
        <v>6</v>
      </c>
      <c r="C651" s="2" t="s">
        <v>4106</v>
      </c>
      <c r="D651" s="32" t="s">
        <v>4251</v>
      </c>
      <c r="E651" s="35" t="s">
        <v>4252</v>
      </c>
    </row>
    <row r="652" spans="1:5" x14ac:dyDescent="0.2">
      <c r="A652" s="34" t="str">
        <f>HYPERLINK("http://www.daganm.co.il/sku/SFP120-100","SFP120-100")</f>
        <v>SFP120-100</v>
      </c>
      <c r="B652" t="s">
        <v>6</v>
      </c>
      <c r="C652" s="2" t="s">
        <v>3728</v>
      </c>
      <c r="D652" s="32"/>
      <c r="E652" s="35" t="s">
        <v>3631</v>
      </c>
    </row>
    <row r="653" spans="1:5" x14ac:dyDescent="0.2">
      <c r="A653" s="34" t="str">
        <f>HYPERLINK("http://www.daganm.co.il/sku/SFP101-IN-550","SFP101-IN-550")</f>
        <v>SFP101-IN-550</v>
      </c>
      <c r="B653" t="s">
        <v>6</v>
      </c>
      <c r="C653" s="2" t="s">
        <v>598</v>
      </c>
      <c r="D653" s="32"/>
      <c r="E653" s="35" t="s">
        <v>2099</v>
      </c>
    </row>
    <row r="654" spans="1:5" x14ac:dyDescent="0.2">
      <c r="A654" s="34" t="str">
        <f>HYPERLINK("http://www.daganm.co.il/sku/SFP103-550","SFP103-550")</f>
        <v>SFP103-550</v>
      </c>
      <c r="B654" t="s">
        <v>6</v>
      </c>
      <c r="C654" s="2" t="s">
        <v>599</v>
      </c>
      <c r="D654" s="32"/>
      <c r="E654" s="35" t="s">
        <v>2100</v>
      </c>
    </row>
    <row r="655" spans="1:5" x14ac:dyDescent="0.2">
      <c r="A655" s="34" t="str">
        <f>HYPERLINK("http://www.daganm.co.il/sku/SFP103-IN-550","SFP103-IN-550")</f>
        <v>SFP103-IN-550</v>
      </c>
      <c r="B655" t="s">
        <v>6</v>
      </c>
      <c r="C655" s="2" t="s">
        <v>600</v>
      </c>
      <c r="D655" s="32"/>
      <c r="E655" s="35" t="s">
        <v>2101</v>
      </c>
    </row>
    <row r="656" spans="1:5" x14ac:dyDescent="0.2">
      <c r="A656" s="34" t="str">
        <f>HYPERLINK("http://www.daganm.co.il/sku/SFP105-10K","SFP105-10K")</f>
        <v>SFP105-10K</v>
      </c>
      <c r="B656" t="s">
        <v>6</v>
      </c>
      <c r="C656" s="2" t="s">
        <v>601</v>
      </c>
      <c r="D656" s="32"/>
      <c r="E656" s="35" t="s">
        <v>2102</v>
      </c>
    </row>
    <row r="657" spans="1:5" x14ac:dyDescent="0.2">
      <c r="A657" s="34" t="str">
        <f>HYPERLINK("http://www.daganm.co.il/sku/SFP105-IN-10K","SFP105-IN-10K")</f>
        <v>SFP105-IN-10K</v>
      </c>
      <c r="B657" t="s">
        <v>6</v>
      </c>
      <c r="C657" s="2" t="s">
        <v>602</v>
      </c>
      <c r="D657" s="32"/>
      <c r="E657" s="35" t="s">
        <v>2103</v>
      </c>
    </row>
    <row r="658" spans="1:5" x14ac:dyDescent="0.2">
      <c r="A658" s="34" t="str">
        <f>HYPERLINK("http://www.daganm.co.il/sku/SFP104-550","SFP104-550")</f>
        <v>SFP104-550</v>
      </c>
      <c r="B658" t="s">
        <v>6</v>
      </c>
      <c r="C658" s="2" t="s">
        <v>603</v>
      </c>
      <c r="D658" s="32"/>
      <c r="E658" s="35" t="s">
        <v>2104</v>
      </c>
    </row>
    <row r="659" spans="1:5" x14ac:dyDescent="0.2">
      <c r="A659" s="34" t="str">
        <f>HYPERLINK("http://www.daganm.co.il/sku/SFP104-IN-550","SFP104-IN-550")</f>
        <v>SFP104-IN-550</v>
      </c>
      <c r="B659" t="s">
        <v>6</v>
      </c>
      <c r="C659" s="2" t="s">
        <v>604</v>
      </c>
      <c r="D659" s="32"/>
      <c r="E659" s="35" t="s">
        <v>2105</v>
      </c>
    </row>
    <row r="660" spans="1:5" x14ac:dyDescent="0.2">
      <c r="A660" s="34" t="str">
        <f>HYPERLINK("http://www.daganm.co.il/sku/SFP106-10K","SFP106-10K")</f>
        <v>SFP106-10K</v>
      </c>
      <c r="B660" t="s">
        <v>6</v>
      </c>
      <c r="C660" s="2" t="s">
        <v>605</v>
      </c>
      <c r="D660" s="32"/>
      <c r="E660" s="35" t="s">
        <v>2106</v>
      </c>
    </row>
    <row r="661" spans="1:5" x14ac:dyDescent="0.2">
      <c r="A661" s="34" t="str">
        <f>HYPERLINK("http://www.daganm.co.il/sku/SFP106-IN-10K","SFP106-IN-10K")</f>
        <v>SFP106-IN-10K</v>
      </c>
      <c r="B661" t="s">
        <v>6</v>
      </c>
      <c r="C661" s="2" t="s">
        <v>606</v>
      </c>
      <c r="D661" s="32"/>
      <c r="E661" s="35" t="s">
        <v>2107</v>
      </c>
    </row>
    <row r="662" spans="1:5" x14ac:dyDescent="0.2">
      <c r="A662" s="34" t="str">
        <f>HYPERLINK("http://www.daganm.co.il/sku/SFP008-100","SFP008-100")</f>
        <v>SFP008-100</v>
      </c>
      <c r="B662" t="s">
        <v>6</v>
      </c>
      <c r="C662" s="2" t="s">
        <v>607</v>
      </c>
      <c r="D662" s="32"/>
      <c r="E662" s="35" t="s">
        <v>2108</v>
      </c>
    </row>
    <row r="663" spans="1:5" x14ac:dyDescent="0.2">
      <c r="A663" s="34" t="str">
        <f>HYPERLINK("http://www.daganm.co.il/sku/SFP009-100","SFP009-100")</f>
        <v>SFP009-100</v>
      </c>
      <c r="B663" t="s">
        <v>6</v>
      </c>
      <c r="C663" s="2" t="s">
        <v>608</v>
      </c>
      <c r="D663" s="32"/>
      <c r="E663" s="35" t="s">
        <v>2109</v>
      </c>
    </row>
    <row r="664" spans="1:5" x14ac:dyDescent="0.2">
      <c r="A664" s="37" t="str">
        <f>HYPERLINK("http://www.daganm.co.il/sku/SFP009-IN-100","SFP009-IN-100")</f>
        <v>SFP009-IN-100</v>
      </c>
      <c r="B664" t="s">
        <v>6</v>
      </c>
      <c r="C664" s="2" t="s">
        <v>4107</v>
      </c>
      <c r="D664" s="32"/>
      <c r="E664" s="32" t="s">
        <v>4253</v>
      </c>
    </row>
    <row r="665" spans="1:5" x14ac:dyDescent="0.2">
      <c r="A665" s="34" t="str">
        <f>HYPERLINK("http://www.daganm.co.il/sku/SFP009/JP-100","SFP009/JP-100")</f>
        <v>SFP009/JP-100</v>
      </c>
      <c r="B665" t="s">
        <v>6</v>
      </c>
      <c r="C665" s="2" t="s">
        <v>3532</v>
      </c>
      <c r="D665" s="32"/>
      <c r="E665" s="35" t="s">
        <v>3632</v>
      </c>
    </row>
    <row r="666" spans="1:5" x14ac:dyDescent="0.2">
      <c r="A666" s="34" t="str">
        <f>HYPERLINK("http://www.daganm.co.il/sku/SFP029-100","SFP029-100")</f>
        <v>SFP029-100</v>
      </c>
      <c r="B666" t="s">
        <v>6</v>
      </c>
      <c r="C666" s="2" t="s">
        <v>3729</v>
      </c>
      <c r="D666" s="32"/>
      <c r="E666" s="35" t="s">
        <v>3980</v>
      </c>
    </row>
    <row r="667" spans="1:5" x14ac:dyDescent="0.2">
      <c r="A667" s="37" t="str">
        <f>HYPERLINK("http://www.daganm.co.il/sku/SFP029-IN-100","SFP029-IN-100")</f>
        <v>SFP029-IN-100</v>
      </c>
      <c r="B667" t="s">
        <v>6</v>
      </c>
      <c r="C667" s="2" t="s">
        <v>4108</v>
      </c>
      <c r="D667" s="32"/>
      <c r="E667" s="35" t="s">
        <v>4254</v>
      </c>
    </row>
    <row r="668" spans="1:5" x14ac:dyDescent="0.2">
      <c r="A668" s="34" t="str">
        <f>HYPERLINK("http://www.daganm.co.il/sku/SFP112-IN-10KM","SFP112-IN-10KM")</f>
        <v>SFP112-IN-10KM</v>
      </c>
      <c r="B668" t="s">
        <v>6</v>
      </c>
      <c r="C668" s="2" t="s">
        <v>609</v>
      </c>
      <c r="D668" s="32"/>
      <c r="E668" s="35" t="s">
        <v>2110</v>
      </c>
    </row>
    <row r="669" spans="1:5" x14ac:dyDescent="0.2">
      <c r="A669" s="34" t="str">
        <f>HYPERLINK("http://www.daganm.co.il/sku/SFP113-300","SFP113-300")</f>
        <v>SFP113-300</v>
      </c>
      <c r="B669" t="s">
        <v>6</v>
      </c>
      <c r="C669" s="2" t="s">
        <v>610</v>
      </c>
      <c r="D669" s="32"/>
      <c r="E669" s="35" t="s">
        <v>2111</v>
      </c>
    </row>
    <row r="670" spans="1:5" x14ac:dyDescent="0.2">
      <c r="A670" s="34" t="str">
        <f>HYPERLINK("http://www.daganm.co.il/sku/SFP113-IN-300","SFP113-IN-300")</f>
        <v>SFP113-IN-300</v>
      </c>
      <c r="B670" t="s">
        <v>6</v>
      </c>
      <c r="C670" s="2" t="s">
        <v>611</v>
      </c>
      <c r="D670" s="32"/>
      <c r="E670" s="35" t="s">
        <v>2112</v>
      </c>
    </row>
    <row r="671" spans="1:5" x14ac:dyDescent="0.2">
      <c r="A671" s="34" t="str">
        <f>HYPERLINK("http://www.daganm.co.il/sku/SFP115-10KM","SFP115-10KM")</f>
        <v>SFP115-10KM</v>
      </c>
      <c r="B671" t="s">
        <v>6</v>
      </c>
      <c r="C671" s="2" t="s">
        <v>612</v>
      </c>
      <c r="D671" s="32"/>
      <c r="E671" s="32" t="s">
        <v>2113</v>
      </c>
    </row>
    <row r="672" spans="1:5" x14ac:dyDescent="0.2">
      <c r="A672" s="34" t="str">
        <f>HYPERLINK("http://www.daganm.co.il/sku/SFP115-IN-10KM","SFP115-IN-10KM")</f>
        <v>SFP115-IN-10KM</v>
      </c>
      <c r="B672" t="s">
        <v>6</v>
      </c>
      <c r="C672" s="2" t="s">
        <v>613</v>
      </c>
      <c r="D672" s="32"/>
      <c r="E672" s="35" t="s">
        <v>2114</v>
      </c>
    </row>
    <row r="673" spans="1:5" x14ac:dyDescent="0.2">
      <c r="A673" s="34" t="str">
        <f>HYPERLINK("http://www.daganm.co.il/sku/SFP114-300","SFP114-300")</f>
        <v>SFP114-300</v>
      </c>
      <c r="B673" t="s">
        <v>6</v>
      </c>
      <c r="C673" s="2" t="s">
        <v>614</v>
      </c>
      <c r="D673" s="32"/>
      <c r="E673" s="35" t="s">
        <v>2115</v>
      </c>
    </row>
    <row r="674" spans="1:5" x14ac:dyDescent="0.2">
      <c r="A674" s="34" t="str">
        <f>HYPERLINK("http://www.daganm.co.il/sku/SFP114/JP-300","SFP114/JP-300")</f>
        <v>SFP114/JP-300</v>
      </c>
      <c r="B674" t="s">
        <v>6</v>
      </c>
      <c r="C674" s="2" t="s">
        <v>3533</v>
      </c>
      <c r="D674" s="32"/>
      <c r="E674" s="35" t="s">
        <v>3633</v>
      </c>
    </row>
    <row r="675" spans="1:5" x14ac:dyDescent="0.2">
      <c r="A675" s="34" t="str">
        <f>HYPERLINK("http://www.daganm.co.il/sku/SFP114-IN-300","SFP114-IN-300")</f>
        <v>SFP114-IN-300</v>
      </c>
      <c r="B675" t="s">
        <v>6</v>
      </c>
      <c r="C675" s="2" t="s">
        <v>615</v>
      </c>
      <c r="D675" s="32"/>
      <c r="E675" s="35" t="s">
        <v>2116</v>
      </c>
    </row>
    <row r="676" spans="1:5" x14ac:dyDescent="0.2">
      <c r="A676" s="34" t="str">
        <f>HYPERLINK("http://www.daganm.co.il/sku/SFP116-10KM","SFP116-10KM")</f>
        <v>SFP116-10KM</v>
      </c>
      <c r="B676" t="s">
        <v>6</v>
      </c>
      <c r="C676" s="2" t="s">
        <v>616</v>
      </c>
      <c r="D676" s="32"/>
      <c r="E676" s="35" t="s">
        <v>2117</v>
      </c>
    </row>
    <row r="677" spans="1:5" x14ac:dyDescent="0.2">
      <c r="A677" s="34" t="str">
        <f>HYPERLINK("http://www.daganm.co.il/sku/SFP116-IN-10KM","SFP116-IN-10KM")</f>
        <v>SFP116-IN-10KM</v>
      </c>
      <c r="B677" t="s">
        <v>6</v>
      </c>
      <c r="C677" s="2" t="s">
        <v>617</v>
      </c>
      <c r="D677" s="32"/>
      <c r="E677" s="35" t="s">
        <v>2118</v>
      </c>
    </row>
    <row r="678" spans="1:5" x14ac:dyDescent="0.2">
      <c r="A678" s="34" t="str">
        <f>HYPERLINK("http://www.daganm.co.il/sku/SFP018C-30","SFP018C-30")</f>
        <v>SFP018C-30</v>
      </c>
      <c r="B678" t="s">
        <v>6</v>
      </c>
      <c r="C678" s="2" t="s">
        <v>618</v>
      </c>
      <c r="D678" s="32"/>
      <c r="E678" s="35" t="s">
        <v>2119</v>
      </c>
    </row>
    <row r="679" spans="1:5" x14ac:dyDescent="0.2">
      <c r="A679" s="34" t="str">
        <f>HYPERLINK("http://www.daganm.co.il/sku/SFP019C-30","SFP019C-30")</f>
        <v>SFP019C-30</v>
      </c>
      <c r="B679" t="s">
        <v>6</v>
      </c>
      <c r="C679" s="2" t="s">
        <v>619</v>
      </c>
      <c r="D679" s="32"/>
      <c r="E679" s="35" t="s">
        <v>2120</v>
      </c>
    </row>
    <row r="680" spans="1:5" x14ac:dyDescent="0.2">
      <c r="A680" s="34" t="str">
        <f>HYPERLINK("http://www.daganm.co.il/sku/SFP019C/JP-30","SFP019C/JP-30")</f>
        <v>SFP019C/JP-30</v>
      </c>
      <c r="B680" t="s">
        <v>6</v>
      </c>
      <c r="C680" s="2" t="s">
        <v>3534</v>
      </c>
      <c r="D680" s="32"/>
      <c r="E680" s="35" t="s">
        <v>3634</v>
      </c>
    </row>
    <row r="681" spans="1:5" x14ac:dyDescent="0.2">
      <c r="A681" s="34" t="str">
        <f>HYPERLINK("http://www.daganm.co.il/sku/SFP503-20K","SFP503-20K")</f>
        <v>SFP503-20K</v>
      </c>
      <c r="B681" t="s">
        <v>6</v>
      </c>
      <c r="C681" s="2" t="s">
        <v>620</v>
      </c>
      <c r="D681" s="32"/>
      <c r="E681" s="32" t="s">
        <v>2121</v>
      </c>
    </row>
    <row r="682" spans="1:5" x14ac:dyDescent="0.2">
      <c r="A682" s="34" t="str">
        <f>HYPERLINK("http://www.daganm.co.il/sku/SFP503-IN-20K","SFP503-IN-20K")</f>
        <v>SFP503-IN-20K</v>
      </c>
      <c r="B682" t="s">
        <v>6</v>
      </c>
      <c r="C682" s="2" t="s">
        <v>621</v>
      </c>
      <c r="D682" s="32"/>
      <c r="E682" s="32" t="s">
        <v>2122</v>
      </c>
    </row>
    <row r="683" spans="1:5" x14ac:dyDescent="0.2">
      <c r="A683" s="34" t="str">
        <f>HYPERLINK("http://www.daganm.co.il/sku/SFP504-20K","SFP504-20K")</f>
        <v>SFP504-20K</v>
      </c>
      <c r="B683" t="s">
        <v>6</v>
      </c>
      <c r="C683" s="2" t="s">
        <v>622</v>
      </c>
      <c r="D683" s="32"/>
      <c r="E683" s="35" t="s">
        <v>2123</v>
      </c>
    </row>
    <row r="684" spans="1:5" x14ac:dyDescent="0.2">
      <c r="A684" s="34" t="str">
        <f>HYPERLINK("http://www.daganm.co.il/sku/SFP504-IN-20K","SFP504-IN-20K")</f>
        <v>SFP504-IN-20K</v>
      </c>
      <c r="B684" t="s">
        <v>6</v>
      </c>
      <c r="C684" s="2" t="s">
        <v>623</v>
      </c>
      <c r="D684" s="32"/>
      <c r="E684" s="35" t="s">
        <v>2124</v>
      </c>
    </row>
    <row r="685" spans="1:5" x14ac:dyDescent="0.2">
      <c r="A685" s="34" t="str">
        <f>HYPERLINK("http://www.daganm.co.il/sku/SFP505-20K","SFP505-20K")</f>
        <v>SFP505-20K</v>
      </c>
      <c r="B685" t="s">
        <v>6</v>
      </c>
      <c r="C685" s="2" t="s">
        <v>624</v>
      </c>
      <c r="D685" s="32"/>
      <c r="E685" s="35" t="s">
        <v>2125</v>
      </c>
    </row>
    <row r="686" spans="1:5" x14ac:dyDescent="0.2">
      <c r="A686" s="34" t="str">
        <f>HYPERLINK("http://www.daganm.co.il/sku/SFP506-20K","SFP506-20K")</f>
        <v>SFP506-20K</v>
      </c>
      <c r="B686" t="s">
        <v>6</v>
      </c>
      <c r="C686" s="2" t="s">
        <v>625</v>
      </c>
      <c r="D686" s="32"/>
      <c r="E686" s="35" t="s">
        <v>2126</v>
      </c>
    </row>
    <row r="687" spans="1:5" x14ac:dyDescent="0.2">
      <c r="B687"/>
      <c r="C687" s="33" t="s">
        <v>4109</v>
      </c>
      <c r="D687" s="32"/>
      <c r="E687" s="35"/>
    </row>
    <row r="688" spans="1:5" x14ac:dyDescent="0.2">
      <c r="A688" s="34" t="str">
        <f>HYPERLINK("http://www.daganm.co.il/sku/SFP-DAC20-0.5","SFP-DAC20-0.5")</f>
        <v>SFP-DAC20-0.5</v>
      </c>
      <c r="B688" t="s">
        <v>6</v>
      </c>
      <c r="C688" s="2" t="s">
        <v>626</v>
      </c>
      <c r="D688" s="32"/>
      <c r="E688" s="35" t="s">
        <v>2127</v>
      </c>
    </row>
    <row r="689" spans="1:5" x14ac:dyDescent="0.2">
      <c r="A689" s="34" t="str">
        <f>HYPERLINK("http://www.daganm.co.il/sku/SFP-DAC20-1","SFP-DAC20-1")</f>
        <v>SFP-DAC20-1</v>
      </c>
      <c r="B689" t="s">
        <v>6</v>
      </c>
      <c r="C689" s="2" t="s">
        <v>627</v>
      </c>
      <c r="D689" s="32"/>
      <c r="E689" s="35" t="s">
        <v>2128</v>
      </c>
    </row>
    <row r="690" spans="1:5" x14ac:dyDescent="0.2">
      <c r="A690" s="34" t="str">
        <f>HYPERLINK("http://www.daganm.co.il/sku/SFP-DAC20-2","SFP-DAC20-2")</f>
        <v>SFP-DAC20-2</v>
      </c>
      <c r="B690" t="s">
        <v>6</v>
      </c>
      <c r="C690" s="2" t="s">
        <v>628</v>
      </c>
      <c r="D690" s="32"/>
      <c r="E690" s="35" t="s">
        <v>2129</v>
      </c>
    </row>
    <row r="691" spans="1:5" x14ac:dyDescent="0.2">
      <c r="A691" s="34" t="str">
        <f>HYPERLINK("http://www.daganm.co.il/sku/SFP-DAC20-3","SFP-DAC20-3")</f>
        <v>SFP-DAC20-3</v>
      </c>
      <c r="B691" t="s">
        <v>6</v>
      </c>
      <c r="C691" s="2" t="s">
        <v>629</v>
      </c>
      <c r="D691" s="36"/>
      <c r="E691" s="35" t="s">
        <v>2130</v>
      </c>
    </row>
    <row r="692" spans="1:5" x14ac:dyDescent="0.2">
      <c r="A692" s="34" t="str">
        <f>HYPERLINK("http://www.daganm.co.il/sku/SFP-DAC20-5","SFP-DAC20-5")</f>
        <v>SFP-DAC20-5</v>
      </c>
      <c r="B692" t="s">
        <v>6</v>
      </c>
      <c r="C692" s="2" t="s">
        <v>630</v>
      </c>
      <c r="D692" s="32"/>
      <c r="E692" s="35" t="s">
        <v>2131</v>
      </c>
    </row>
    <row r="693" spans="1:5" x14ac:dyDescent="0.2">
      <c r="A693" s="34" t="str">
        <f>HYPERLINK("http://www.daganm.co.il/sku/SFP-DAC20-7","SFP-DAC20-7")</f>
        <v>SFP-DAC20-7</v>
      </c>
      <c r="B693" t="s">
        <v>6</v>
      </c>
      <c r="C693" s="2" t="s">
        <v>631</v>
      </c>
      <c r="D693" s="32"/>
      <c r="E693" s="35" t="s">
        <v>2132</v>
      </c>
    </row>
    <row r="694" spans="1:5" x14ac:dyDescent="0.2">
      <c r="A694" s="37" t="str">
        <f>HYPERLINK("http://www.daganm.co.il/sku/QSFP-DAC40-0.5","QSFP-DAC40-0.5")</f>
        <v>QSFP-DAC40-0.5</v>
      </c>
      <c r="B694" t="s">
        <v>6</v>
      </c>
      <c r="C694" s="2" t="s">
        <v>4110</v>
      </c>
      <c r="D694" s="32"/>
      <c r="E694" s="35" t="s">
        <v>4255</v>
      </c>
    </row>
    <row r="695" spans="1:5" x14ac:dyDescent="0.2">
      <c r="A695" s="37" t="str">
        <f>HYPERLINK("http://www.daganm.co.il/sku/QSFP-DAC40-1","QSFP-DAC40-1")</f>
        <v>QSFP-DAC40-1</v>
      </c>
      <c r="B695" t="s">
        <v>6</v>
      </c>
      <c r="C695" s="2" t="s">
        <v>4111</v>
      </c>
      <c r="D695" s="32"/>
      <c r="E695" s="35" t="s">
        <v>4256</v>
      </c>
    </row>
    <row r="696" spans="1:5" x14ac:dyDescent="0.2">
      <c r="A696" s="37" t="str">
        <f>HYPERLINK("http://www.daganm.co.il/sku/QSFP-DAC40-2","QSFP-DAC40-2")</f>
        <v>QSFP-DAC40-2</v>
      </c>
      <c r="B696" t="s">
        <v>6</v>
      </c>
      <c r="C696" s="2" t="s">
        <v>4112</v>
      </c>
      <c r="D696" s="32"/>
      <c r="E696" s="35" t="s">
        <v>4257</v>
      </c>
    </row>
    <row r="697" spans="1:5" x14ac:dyDescent="0.2">
      <c r="A697" s="37" t="str">
        <f>HYPERLINK("http://www.daganm.co.il/sku/QSFP-DAC40-3","QSFP-DAC40-3")</f>
        <v>QSFP-DAC40-3</v>
      </c>
      <c r="B697" t="s">
        <v>6</v>
      </c>
      <c r="C697" s="2" t="s">
        <v>4113</v>
      </c>
      <c r="D697" s="32"/>
      <c r="E697" s="32" t="s">
        <v>4258</v>
      </c>
    </row>
    <row r="698" spans="1:5" x14ac:dyDescent="0.2">
      <c r="A698" s="37" t="str">
        <f>HYPERLINK("http://www.daganm.co.il/sku/QSFP-DAC40-5","QSFP-DAC40-5")</f>
        <v>QSFP-DAC40-5</v>
      </c>
      <c r="B698" t="s">
        <v>6</v>
      </c>
      <c r="C698" s="2" t="s">
        <v>4114</v>
      </c>
      <c r="D698" s="32"/>
      <c r="E698" s="35" t="s">
        <v>4259</v>
      </c>
    </row>
    <row r="699" spans="1:5" x14ac:dyDescent="0.2">
      <c r="A699" s="37" t="str">
        <f>HYPERLINK("http://www.daganm.co.il/sku/QSFP-DAC100-0.5","QSFP-DAC100-0.5")</f>
        <v>QSFP-DAC100-0.5</v>
      </c>
      <c r="B699" t="s">
        <v>6</v>
      </c>
      <c r="C699" s="2" t="s">
        <v>4115</v>
      </c>
      <c r="D699" s="36"/>
      <c r="E699" s="35" t="s">
        <v>4260</v>
      </c>
    </row>
    <row r="700" spans="1:5" x14ac:dyDescent="0.2">
      <c r="A700" s="37" t="str">
        <f>HYPERLINK("http://www.daganm.co.il/sku/QSFP-DAC100-1","QSFP-DAC100-1")</f>
        <v>QSFP-DAC100-1</v>
      </c>
      <c r="B700" t="s">
        <v>6</v>
      </c>
      <c r="C700" s="2" t="s">
        <v>4116</v>
      </c>
      <c r="D700" s="32"/>
      <c r="E700" s="35" t="s">
        <v>4261</v>
      </c>
    </row>
    <row r="701" spans="1:5" x14ac:dyDescent="0.2">
      <c r="A701" s="37" t="str">
        <f>HYPERLINK("http://www.daganm.co.il/sku/QSFP-DAC100-2","QSFP-DAC100-2")</f>
        <v>QSFP-DAC100-2</v>
      </c>
      <c r="B701" t="s">
        <v>6</v>
      </c>
      <c r="C701" s="2" t="s">
        <v>4117</v>
      </c>
      <c r="D701" s="32"/>
      <c r="E701" s="35" t="s">
        <v>4262</v>
      </c>
    </row>
    <row r="702" spans="1:5" x14ac:dyDescent="0.2">
      <c r="A702" s="37" t="str">
        <f>HYPERLINK("http://www.daganm.co.il/sku/QSFP-DAC100-3","QSFP-DAC100-3")</f>
        <v>QSFP-DAC100-3</v>
      </c>
      <c r="B702" t="s">
        <v>6</v>
      </c>
      <c r="C702" s="2" t="s">
        <v>4118</v>
      </c>
      <c r="D702" s="32"/>
      <c r="E702" s="35" t="s">
        <v>4263</v>
      </c>
    </row>
    <row r="703" spans="1:5" x14ac:dyDescent="0.2">
      <c r="A703" s="37" t="str">
        <f>HYPERLINK("http://www.daganm.co.il/sku/QSFP-DAC100-5","QSFP-DAC100-5")</f>
        <v>QSFP-DAC100-5</v>
      </c>
      <c r="B703" t="s">
        <v>6</v>
      </c>
      <c r="C703" s="2" t="s">
        <v>4119</v>
      </c>
      <c r="D703" s="32"/>
      <c r="E703" s="35" t="s">
        <v>4264</v>
      </c>
    </row>
    <row r="704" spans="1:5" x14ac:dyDescent="0.2">
      <c r="B704"/>
      <c r="C704" s="33" t="s">
        <v>19</v>
      </c>
      <c r="D704" s="32"/>
      <c r="E704" s="32"/>
    </row>
    <row r="705" spans="1:5" x14ac:dyDescent="0.2">
      <c r="A705" s="34" t="str">
        <f>HYPERLINK("http://www.daganm.co.il/sku/OPTC10-20KM","OPTC10-20KM")</f>
        <v>OPTC10-20KM</v>
      </c>
      <c r="B705" t="s">
        <v>6</v>
      </c>
      <c r="C705" s="2" t="s">
        <v>632</v>
      </c>
      <c r="D705" s="32"/>
      <c r="E705" s="32" t="s">
        <v>2133</v>
      </c>
    </row>
    <row r="706" spans="1:5" x14ac:dyDescent="0.2">
      <c r="A706" s="34" t="str">
        <f>HYPERLINK("http://www.daganm.co.il/sku/OPTC20-2KM","OPTC20-2KM")</f>
        <v>OPTC20-2KM</v>
      </c>
      <c r="B706" t="s">
        <v>6</v>
      </c>
      <c r="C706" s="2" t="s">
        <v>633</v>
      </c>
      <c r="D706" s="32"/>
      <c r="E706" s="35" t="s">
        <v>2134</v>
      </c>
    </row>
    <row r="707" spans="1:5" x14ac:dyDescent="0.2">
      <c r="A707" s="34" t="str">
        <f>HYPERLINK("http://www.daganm.co.il/sku/OPTC30-20KM","OPTC30-20KM")</f>
        <v>OPTC30-20KM</v>
      </c>
      <c r="B707" t="s">
        <v>6</v>
      </c>
      <c r="C707" s="2" t="s">
        <v>634</v>
      </c>
      <c r="D707" s="32"/>
      <c r="E707" s="35" t="s">
        <v>2135</v>
      </c>
    </row>
    <row r="708" spans="1:5" x14ac:dyDescent="0.2">
      <c r="A708" s="34" t="str">
        <f>HYPERLINK("http://www.daganm.co.il/sku/OPTC40-500M","OPTC40-500M")</f>
        <v>OPTC40-500M</v>
      </c>
      <c r="B708" t="s">
        <v>6</v>
      </c>
      <c r="C708" s="2" t="s">
        <v>635</v>
      </c>
      <c r="D708" s="32"/>
      <c r="E708" s="35" t="s">
        <v>2136</v>
      </c>
    </row>
    <row r="709" spans="1:5" x14ac:dyDescent="0.2">
      <c r="A709" s="34" t="str">
        <f>HYPERLINK("http://www.daganm.co.il/sku/OPTC60-20KM","OPTC60-20KM")</f>
        <v>OPTC60-20KM</v>
      </c>
      <c r="B709" t="s">
        <v>636</v>
      </c>
      <c r="C709" s="2" t="s">
        <v>637</v>
      </c>
      <c r="D709" s="32"/>
      <c r="E709" s="35" t="s">
        <v>2137</v>
      </c>
    </row>
    <row r="710" spans="1:5" x14ac:dyDescent="0.2">
      <c r="A710" s="34" t="str">
        <f>HYPERLINK("http://www.daganm.co.il/sku/OPTC70","OPTC70")</f>
        <v>OPTC70</v>
      </c>
      <c r="B710" t="s">
        <v>6</v>
      </c>
      <c r="C710" s="2" t="s">
        <v>638</v>
      </c>
      <c r="D710" s="32"/>
      <c r="E710" s="35" t="s">
        <v>2138</v>
      </c>
    </row>
    <row r="711" spans="1:5" x14ac:dyDescent="0.2">
      <c r="A711" s="34" t="str">
        <f>HYPERLINK("http://www.daganm.co.il/sku/OPTC71-IN","OPTC71-IN")</f>
        <v>OPTC71-IN</v>
      </c>
      <c r="B711" t="s">
        <v>6</v>
      </c>
      <c r="C711" s="2" t="s">
        <v>3289</v>
      </c>
      <c r="D711" s="32"/>
      <c r="E711" s="35" t="s">
        <v>3425</v>
      </c>
    </row>
    <row r="712" spans="1:5" x14ac:dyDescent="0.2">
      <c r="A712" s="34" t="str">
        <f>HYPERLINK("http://www.daganm.co.il/sku/OPTC80","OPTC80")</f>
        <v>OPTC80</v>
      </c>
      <c r="B712" t="s">
        <v>6</v>
      </c>
      <c r="C712" s="2" t="s">
        <v>639</v>
      </c>
      <c r="D712" s="32"/>
      <c r="E712" s="35" t="s">
        <v>2139</v>
      </c>
    </row>
    <row r="713" spans="1:5" ht="16.5" x14ac:dyDescent="0.25">
      <c r="B713"/>
      <c r="C713" s="31" t="s">
        <v>20</v>
      </c>
      <c r="D713" s="32"/>
      <c r="E713" s="35"/>
    </row>
    <row r="714" spans="1:5" x14ac:dyDescent="0.2">
      <c r="B714"/>
      <c r="C714" s="33" t="s">
        <v>21</v>
      </c>
      <c r="D714" s="32"/>
      <c r="E714" s="35"/>
    </row>
    <row r="715" spans="1:5" x14ac:dyDescent="0.2">
      <c r="A715" s="34" t="str">
        <f>HYPERLINK("http://www.daganm.co.il/sku/IR-EXTEND4","IR-EXTEND4")</f>
        <v>IR-EXTEND4</v>
      </c>
      <c r="B715" t="s">
        <v>6</v>
      </c>
      <c r="C715" s="2" t="s">
        <v>640</v>
      </c>
      <c r="D715" s="32"/>
      <c r="E715" s="35" t="s">
        <v>2140</v>
      </c>
    </row>
    <row r="716" spans="1:5" x14ac:dyDescent="0.2">
      <c r="A716" s="34" t="str">
        <f>HYPERLINK("http://www.daganm.co.il/sku/IR-EXTEND8","IR-EXTEND8")</f>
        <v>IR-EXTEND8</v>
      </c>
      <c r="B716" t="s">
        <v>6</v>
      </c>
      <c r="C716" s="2" t="s">
        <v>641</v>
      </c>
      <c r="D716" s="32"/>
      <c r="E716" s="32" t="s">
        <v>2141</v>
      </c>
    </row>
    <row r="717" spans="1:5" x14ac:dyDescent="0.2">
      <c r="A717" s="34" t="str">
        <f>HYPERLINK("http://www.daganm.co.il/sku/IR-EXTEND15","IR-EXTEND15")</f>
        <v>IR-EXTEND15</v>
      </c>
      <c r="B717" t="s">
        <v>6</v>
      </c>
      <c r="C717" s="2" t="s">
        <v>642</v>
      </c>
      <c r="D717" s="32"/>
      <c r="E717" s="35" t="s">
        <v>2142</v>
      </c>
    </row>
    <row r="718" spans="1:5" x14ac:dyDescent="0.2">
      <c r="A718" s="34" t="str">
        <f>HYPERLINK("http://www.daganm.co.il/sku/IR-CABLE1","IR-CABLE1")</f>
        <v>IR-CABLE1</v>
      </c>
      <c r="B718" t="s">
        <v>6</v>
      </c>
      <c r="C718" s="2" t="s">
        <v>643</v>
      </c>
      <c r="D718" s="32"/>
      <c r="E718" s="35" t="s">
        <v>2143</v>
      </c>
    </row>
    <row r="719" spans="1:5" x14ac:dyDescent="0.2">
      <c r="A719" s="34" t="str">
        <f>HYPERLINK("http://www.daganm.co.il/sku/IR-CABLE2","IR-CABLE2")</f>
        <v>IR-CABLE2</v>
      </c>
      <c r="B719" t="s">
        <v>6</v>
      </c>
      <c r="C719" s="2" t="s">
        <v>644</v>
      </c>
      <c r="D719" s="32"/>
      <c r="E719" s="35" t="s">
        <v>2144</v>
      </c>
    </row>
    <row r="720" spans="1:5" x14ac:dyDescent="0.2">
      <c r="A720" s="34" t="str">
        <f>HYPERLINK("http://www.daganm.co.il/sku/IR-CABLE6","IR-CABLE6")</f>
        <v>IR-CABLE6</v>
      </c>
      <c r="B720" t="s">
        <v>6</v>
      </c>
      <c r="C720" s="2" t="s">
        <v>645</v>
      </c>
      <c r="D720" s="32"/>
      <c r="E720" s="35" t="s">
        <v>2145</v>
      </c>
    </row>
    <row r="721" spans="1:5" x14ac:dyDescent="0.2">
      <c r="A721" s="34" t="str">
        <f>HYPERLINK("http://www.daganm.co.il/sku/IR-CABLE7","IR-CABLE7")</f>
        <v>IR-CABLE7</v>
      </c>
      <c r="B721" t="s">
        <v>6</v>
      </c>
      <c r="C721" s="2" t="s">
        <v>646</v>
      </c>
      <c r="D721" s="36"/>
      <c r="E721" s="35" t="s">
        <v>2146</v>
      </c>
    </row>
    <row r="722" spans="1:5" x14ac:dyDescent="0.2">
      <c r="A722" s="34" t="str">
        <f>HYPERLINK("http://www.daganm.co.il/sku/CABLE-405/1","CABLE-405/1")</f>
        <v>CABLE-405/1</v>
      </c>
      <c r="B722" t="s">
        <v>6</v>
      </c>
      <c r="C722" s="2" t="s">
        <v>647</v>
      </c>
      <c r="D722" s="36"/>
      <c r="E722" s="35" t="s">
        <v>2147</v>
      </c>
    </row>
    <row r="723" spans="1:5" x14ac:dyDescent="0.2">
      <c r="A723" s="34" t="str">
        <f>HYPERLINK("http://www.daganm.co.il/sku/IR-EXTEND22","IR-EXTEND22")</f>
        <v>IR-EXTEND22</v>
      </c>
      <c r="B723" t="s">
        <v>6</v>
      </c>
      <c r="C723" s="2" t="s">
        <v>648</v>
      </c>
      <c r="D723" s="32"/>
      <c r="E723" s="35" t="s">
        <v>2148</v>
      </c>
    </row>
    <row r="724" spans="1:5" x14ac:dyDescent="0.2">
      <c r="A724" s="34" t="str">
        <f>HYPERLINK("http://www.daganm.co.il/sku/IR-EXTEND22*1","IR-EXTEND22*1")</f>
        <v>IR-EXTEND22*1</v>
      </c>
      <c r="B724" t="s">
        <v>6</v>
      </c>
      <c r="C724" s="2" t="s">
        <v>649</v>
      </c>
      <c r="D724" s="32"/>
      <c r="E724" s="35" t="s">
        <v>2148</v>
      </c>
    </row>
    <row r="725" spans="1:5" x14ac:dyDescent="0.2">
      <c r="A725" s="34" t="str">
        <f>HYPERLINK("http://www.daganm.co.il/sku/IR-EXTEND31","IR-EXTEND31")</f>
        <v>IR-EXTEND31</v>
      </c>
      <c r="B725" t="s">
        <v>6</v>
      </c>
      <c r="C725" s="2" t="s">
        <v>650</v>
      </c>
      <c r="D725" s="36"/>
      <c r="E725" s="35" t="s">
        <v>2149</v>
      </c>
    </row>
    <row r="726" spans="1:5" x14ac:dyDescent="0.2">
      <c r="A726" s="34" t="str">
        <f>HYPERLINK("http://www.daganm.co.il/sku/IR-EXTEND11","IR-EXTEND11")</f>
        <v>IR-EXTEND11</v>
      </c>
      <c r="B726" t="s">
        <v>636</v>
      </c>
      <c r="C726" s="2" t="s">
        <v>651</v>
      </c>
      <c r="D726" s="32"/>
      <c r="E726" s="32" t="s">
        <v>2150</v>
      </c>
    </row>
    <row r="727" spans="1:5" x14ac:dyDescent="0.2">
      <c r="B727"/>
      <c r="C727" s="33" t="s">
        <v>22</v>
      </c>
      <c r="D727" s="32"/>
      <c r="E727" s="35"/>
    </row>
    <row r="728" spans="1:5" x14ac:dyDescent="0.2">
      <c r="A728" s="34" t="str">
        <f>HYPERLINK("http://www.daganm.co.il/sku/IREX50-1-KIT","IREX50-1-KIT")</f>
        <v>IREX50-1-KIT</v>
      </c>
      <c r="B728" t="s">
        <v>6</v>
      </c>
      <c r="C728" s="2" t="s">
        <v>652</v>
      </c>
      <c r="D728" s="32"/>
      <c r="E728" s="35" t="s">
        <v>2151</v>
      </c>
    </row>
    <row r="729" spans="1:5" x14ac:dyDescent="0.2">
      <c r="A729" s="34" t="str">
        <f>HYPERLINK("http://www.daganm.co.il/sku/IREX50-2-KIT","IREX50-2-KIT")</f>
        <v>IREX50-2-KIT</v>
      </c>
      <c r="B729" t="s">
        <v>6</v>
      </c>
      <c r="C729" s="2" t="s">
        <v>653</v>
      </c>
      <c r="D729" s="32"/>
      <c r="E729" s="35" t="s">
        <v>2152</v>
      </c>
    </row>
    <row r="730" spans="1:5" x14ac:dyDescent="0.2">
      <c r="A730" s="34" t="str">
        <f>HYPERLINK("http://www.daganm.co.il/sku/IREX50-PSUP","IREX50-PSUP")</f>
        <v>IREX50-PSUP</v>
      </c>
      <c r="B730" t="s">
        <v>6</v>
      </c>
      <c r="C730" s="2" t="s">
        <v>654</v>
      </c>
      <c r="D730" s="32" t="s">
        <v>2</v>
      </c>
      <c r="E730" s="35" t="s">
        <v>2153</v>
      </c>
    </row>
    <row r="731" spans="1:5" x14ac:dyDescent="0.2">
      <c r="A731" s="34" t="str">
        <f>HYPERLINK("http://www.daganm.co.il/sku/IREX50-BH","IREX50-BH")</f>
        <v>IREX50-BH</v>
      </c>
      <c r="B731" t="s">
        <v>6</v>
      </c>
      <c r="C731" s="2" t="s">
        <v>655</v>
      </c>
      <c r="D731" s="32"/>
      <c r="E731" s="35" t="s">
        <v>2154</v>
      </c>
    </row>
    <row r="732" spans="1:5" x14ac:dyDescent="0.2">
      <c r="A732" s="34" t="str">
        <f>HYPERLINK("http://www.daganm.co.il/sku/IREX50-EM","IREX50-EM")</f>
        <v>IREX50-EM</v>
      </c>
      <c r="B732" t="s">
        <v>6</v>
      </c>
      <c r="C732" s="2" t="s">
        <v>656</v>
      </c>
      <c r="D732" s="32"/>
      <c r="E732" s="35" t="s">
        <v>2155</v>
      </c>
    </row>
    <row r="733" spans="1:5" ht="16.5" x14ac:dyDescent="0.25">
      <c r="B733"/>
      <c r="C733" s="31" t="s">
        <v>23</v>
      </c>
      <c r="D733" s="32"/>
      <c r="E733" s="35"/>
    </row>
    <row r="734" spans="1:5" x14ac:dyDescent="0.2">
      <c r="B734"/>
      <c r="C734" s="33" t="s">
        <v>24</v>
      </c>
      <c r="D734" s="32"/>
      <c r="E734" s="32"/>
    </row>
    <row r="735" spans="1:5" x14ac:dyDescent="0.2">
      <c r="A735" s="34" t="str">
        <f>HYPERLINK("http://www.daganm.co.il/sku/HDSP02M","HDSP02M")</f>
        <v>HDSP02M</v>
      </c>
      <c r="B735" t="s">
        <v>6</v>
      </c>
      <c r="C735" s="2" t="s">
        <v>4120</v>
      </c>
      <c r="D735" s="36"/>
      <c r="E735" s="35" t="s">
        <v>3426</v>
      </c>
    </row>
    <row r="736" spans="1:5" x14ac:dyDescent="0.2">
      <c r="A736" s="34" t="str">
        <f>HYPERLINK("http://www.daganm.co.il/sku/HDSP02M1","HDSP02M1")</f>
        <v>HDSP02M1</v>
      </c>
      <c r="B736" t="s">
        <v>6</v>
      </c>
      <c r="C736" s="2" t="s">
        <v>4121</v>
      </c>
      <c r="D736" s="32"/>
      <c r="E736" s="35" t="s">
        <v>2156</v>
      </c>
    </row>
    <row r="737" spans="1:5" x14ac:dyDescent="0.2">
      <c r="A737" s="34" t="str">
        <f>HYPERLINK("http://www.daganm.co.il/sku/HDSP02V15","HDSP02V15")</f>
        <v>HDSP02V15</v>
      </c>
      <c r="B737" t="s">
        <v>6</v>
      </c>
      <c r="C737" s="2" t="s">
        <v>4122</v>
      </c>
      <c r="D737" s="32"/>
      <c r="E737" s="35" t="s">
        <v>2157</v>
      </c>
    </row>
    <row r="738" spans="1:5" x14ac:dyDescent="0.2">
      <c r="A738" s="34" t="str">
        <f>HYPERLINK("http://www.daganm.co.il/sku/HDSP02V2","HDSP02V2")</f>
        <v>HDSP02V2</v>
      </c>
      <c r="B738" t="s">
        <v>6</v>
      </c>
      <c r="C738" s="2" t="s">
        <v>3730</v>
      </c>
      <c r="D738" s="36"/>
      <c r="E738" s="35" t="s">
        <v>2158</v>
      </c>
    </row>
    <row r="739" spans="1:5" x14ac:dyDescent="0.2">
      <c r="A739" s="37" t="str">
        <f>HYPERLINK("http://www.daganm.co.il/sku/HDSP02V3","HDSP02V3")</f>
        <v>HDSP02V3</v>
      </c>
      <c r="B739" t="s">
        <v>6</v>
      </c>
      <c r="C739" s="2" t="s">
        <v>3730</v>
      </c>
      <c r="D739" s="32">
        <v>45442</v>
      </c>
      <c r="E739" s="35" t="s">
        <v>4265</v>
      </c>
    </row>
    <row r="740" spans="1:5" x14ac:dyDescent="0.2">
      <c r="A740" s="34" t="str">
        <f>HYPERLINK("http://www.daganm.co.il/sku/HDSP04M1","HDSP04M1")</f>
        <v>HDSP04M1</v>
      </c>
      <c r="B740" t="s">
        <v>6</v>
      </c>
      <c r="C740" s="2" t="s">
        <v>657</v>
      </c>
      <c r="D740" s="32"/>
      <c r="E740" s="35" t="s">
        <v>2159</v>
      </c>
    </row>
    <row r="741" spans="1:5" x14ac:dyDescent="0.2">
      <c r="A741" s="34" t="str">
        <f>HYPERLINK("http://www.daganm.co.il/sku/HDSP04V15","HDSP04V15")</f>
        <v>HDSP04V15</v>
      </c>
      <c r="B741" t="s">
        <v>6</v>
      </c>
      <c r="C741" s="2" t="s">
        <v>4123</v>
      </c>
      <c r="D741" s="32"/>
      <c r="E741" s="32" t="s">
        <v>2160</v>
      </c>
    </row>
    <row r="742" spans="1:5" x14ac:dyDescent="0.2">
      <c r="A742" s="34" t="str">
        <f>HYPERLINK("http://www.daganm.co.il/sku/HDSP04V2","HDSP04V2")</f>
        <v>HDSP04V2</v>
      </c>
      <c r="B742" t="s">
        <v>6</v>
      </c>
      <c r="C742" s="2" t="s">
        <v>3731</v>
      </c>
      <c r="D742" s="32"/>
      <c r="E742" s="35" t="s">
        <v>2161</v>
      </c>
    </row>
    <row r="743" spans="1:5" x14ac:dyDescent="0.2">
      <c r="A743" s="34" t="str">
        <f>HYPERLINK("http://www.daganm.co.il/sku/HDSP08M1","HDSP08M1")</f>
        <v>HDSP08M1</v>
      </c>
      <c r="B743" t="s">
        <v>6</v>
      </c>
      <c r="C743" s="2" t="s">
        <v>658</v>
      </c>
      <c r="D743" s="32"/>
      <c r="E743" s="35" t="s">
        <v>2162</v>
      </c>
    </row>
    <row r="744" spans="1:5" x14ac:dyDescent="0.2">
      <c r="A744" s="34" t="str">
        <f>HYPERLINK("http://www.daganm.co.il/sku/HDSP08V3","HDSP08V3")</f>
        <v>HDSP08V3</v>
      </c>
      <c r="B744" t="s">
        <v>6</v>
      </c>
      <c r="C744" s="2" t="s">
        <v>3732</v>
      </c>
      <c r="D744" s="32"/>
      <c r="E744" s="35" t="s">
        <v>3427</v>
      </c>
    </row>
    <row r="745" spans="1:5" x14ac:dyDescent="0.2">
      <c r="A745" s="34" t="str">
        <f>HYPERLINK("http://www.daganm.co.il/sku/HDSP08V4","HDSP08V4")</f>
        <v>HDSP08V4</v>
      </c>
      <c r="B745" t="s">
        <v>6</v>
      </c>
      <c r="C745" s="2" t="s">
        <v>3732</v>
      </c>
      <c r="D745" s="32"/>
      <c r="E745" s="35" t="s">
        <v>3981</v>
      </c>
    </row>
    <row r="746" spans="1:5" x14ac:dyDescent="0.2">
      <c r="B746"/>
      <c r="C746" s="33" t="s">
        <v>25</v>
      </c>
      <c r="D746" s="32"/>
      <c r="E746" s="35"/>
    </row>
    <row r="747" spans="1:5" x14ac:dyDescent="0.2">
      <c r="A747" s="34" t="str">
        <f>HYPERLINK("http://www.daganm.co.il/sku/AVSWITCH-20M","AVSWITCH-20M")</f>
        <v>AVSWITCH-20M</v>
      </c>
      <c r="B747" t="s">
        <v>6</v>
      </c>
      <c r="C747" s="2" t="s">
        <v>659</v>
      </c>
      <c r="D747" s="32"/>
      <c r="E747" s="35" t="s">
        <v>2163</v>
      </c>
    </row>
    <row r="748" spans="1:5" x14ac:dyDescent="0.2">
      <c r="A748" s="34" t="str">
        <f>HYPERLINK("http://www.daganm.co.il/sku/HDSW03AP1","HDSW03AP1")</f>
        <v>HDSW03AP1</v>
      </c>
      <c r="B748" t="s">
        <v>6</v>
      </c>
      <c r="C748" s="2" t="s">
        <v>660</v>
      </c>
      <c r="D748" s="32"/>
      <c r="E748" s="35" t="s">
        <v>2164</v>
      </c>
    </row>
    <row r="749" spans="1:5" x14ac:dyDescent="0.2">
      <c r="A749" s="34" t="str">
        <f>HYPERLINK("http://www.daganm.co.il/sku/HDSW03AP2","HDSW03AP2")</f>
        <v>HDSW03AP2</v>
      </c>
      <c r="B749" t="s">
        <v>6</v>
      </c>
      <c r="C749" s="2" t="s">
        <v>661</v>
      </c>
      <c r="D749" s="36"/>
      <c r="E749" s="35" t="s">
        <v>2165</v>
      </c>
    </row>
    <row r="750" spans="1:5" x14ac:dyDescent="0.2">
      <c r="A750" s="34" t="str">
        <f>HYPERLINK("http://www.daganm.co.il/sku/HDSW03AP1-CH","HDSW03AP1-CH")</f>
        <v>HDSW03AP1-CH</v>
      </c>
      <c r="B750" t="s">
        <v>6</v>
      </c>
      <c r="C750" s="2" t="s">
        <v>662</v>
      </c>
      <c r="D750" s="32"/>
      <c r="E750" s="35" t="s">
        <v>2164</v>
      </c>
    </row>
    <row r="751" spans="1:5" x14ac:dyDescent="0.2">
      <c r="A751" s="34" t="str">
        <f>HYPERLINK("http://www.daganm.co.il/sku/HDSW03V22","HDSW03V22")</f>
        <v>HDSW03V22</v>
      </c>
      <c r="B751" t="s">
        <v>6</v>
      </c>
      <c r="C751" s="2" t="s">
        <v>4124</v>
      </c>
      <c r="D751" s="32"/>
      <c r="E751" s="35" t="s">
        <v>2166</v>
      </c>
    </row>
    <row r="752" spans="1:5" x14ac:dyDescent="0.2">
      <c r="A752" s="34" t="str">
        <f>HYPERLINK("http://www.daganm.co.il/sku/HDSW05V22","HDSW05V22")</f>
        <v>HDSW05V22</v>
      </c>
      <c r="B752" t="s">
        <v>6</v>
      </c>
      <c r="C752" s="2" t="s">
        <v>4125</v>
      </c>
      <c r="D752" s="32"/>
      <c r="E752" s="35" t="s">
        <v>2167</v>
      </c>
    </row>
    <row r="753" spans="1:5" x14ac:dyDescent="0.2">
      <c r="A753" s="34" t="str">
        <f>HYPERLINK("http://www.daganm.co.il/sku/HDSW0202","HDSW0202")</f>
        <v>HDSW0202</v>
      </c>
      <c r="B753" t="s">
        <v>6</v>
      </c>
      <c r="C753" s="2" t="s">
        <v>3535</v>
      </c>
      <c r="D753" s="32"/>
      <c r="E753" s="35" t="s">
        <v>3635</v>
      </c>
    </row>
    <row r="754" spans="1:5" x14ac:dyDescent="0.2">
      <c r="A754" s="34" t="str">
        <f>HYPERLINK("http://www.daganm.co.il/sku/HDSW0402V3","HDSW0402V3")</f>
        <v>HDSW0402V3</v>
      </c>
      <c r="B754" t="s">
        <v>6</v>
      </c>
      <c r="C754" s="2" t="s">
        <v>663</v>
      </c>
      <c r="D754" s="32"/>
      <c r="E754" s="35" t="s">
        <v>2168</v>
      </c>
    </row>
    <row r="755" spans="1:5" x14ac:dyDescent="0.2">
      <c r="A755" s="34" t="str">
        <f>HYPERLINK("http://www.daganm.co.il/sku/HDSW0402V4","HDSW0402V4")</f>
        <v>HDSW0402V4</v>
      </c>
      <c r="B755" t="s">
        <v>6</v>
      </c>
      <c r="C755" s="2" t="s">
        <v>3733</v>
      </c>
      <c r="D755" s="32"/>
      <c r="E755" s="35" t="s">
        <v>3982</v>
      </c>
    </row>
    <row r="756" spans="1:5" x14ac:dyDescent="0.2">
      <c r="B756"/>
      <c r="C756" s="33" t="s">
        <v>26</v>
      </c>
      <c r="D756" s="32"/>
      <c r="E756" s="35"/>
    </row>
    <row r="757" spans="1:5" x14ac:dyDescent="0.2">
      <c r="A757" s="34" t="str">
        <f>HYPERLINK("http://www.daganm.co.il/sku/AVREPEAT-30P","AVREPEAT-30P")</f>
        <v>AVREPEAT-30P</v>
      </c>
      <c r="B757" t="s">
        <v>6</v>
      </c>
      <c r="C757" s="2" t="s">
        <v>664</v>
      </c>
      <c r="D757" s="32"/>
      <c r="E757" s="35" t="s">
        <v>2169</v>
      </c>
    </row>
    <row r="758" spans="1:5" x14ac:dyDescent="0.2">
      <c r="A758" s="34" t="str">
        <f>HYPERLINK("http://www.daganm.co.il/sku/AVREPEAT-45","AVREPEAT-45")</f>
        <v>AVREPEAT-45</v>
      </c>
      <c r="B758" t="s">
        <v>6</v>
      </c>
      <c r="C758" s="2" t="s">
        <v>4126</v>
      </c>
      <c r="D758" s="32"/>
      <c r="E758" s="35" t="s">
        <v>2170</v>
      </c>
    </row>
    <row r="759" spans="1:5" x14ac:dyDescent="0.2">
      <c r="A759" s="34" t="str">
        <f>HYPERLINK("http://www.daganm.co.il/sku/HDEX04","HDEX04")</f>
        <v>HDEX04</v>
      </c>
      <c r="B759" t="s">
        <v>636</v>
      </c>
      <c r="C759" s="2" t="s">
        <v>4127</v>
      </c>
      <c r="D759" s="32"/>
      <c r="E759" s="35" t="s">
        <v>2171</v>
      </c>
    </row>
    <row r="760" spans="1:5" x14ac:dyDescent="0.2">
      <c r="A760" s="34" t="str">
        <f>HYPERLINK("http://www.daganm.co.il/sku/HDEX05IR","HDEX05IR")</f>
        <v>HDEX05IR</v>
      </c>
      <c r="B760" t="s">
        <v>636</v>
      </c>
      <c r="C760" s="2" t="s">
        <v>665</v>
      </c>
      <c r="D760" s="32"/>
      <c r="E760" s="32" t="s">
        <v>2172</v>
      </c>
    </row>
    <row r="761" spans="1:5" x14ac:dyDescent="0.2">
      <c r="A761" s="34" t="str">
        <f>HYPERLINK("http://www.daganm.co.il/sku/HDEX06","HDEX06")</f>
        <v>HDEX06</v>
      </c>
      <c r="B761" t="s">
        <v>636</v>
      </c>
      <c r="C761" s="2" t="s">
        <v>666</v>
      </c>
      <c r="D761" s="32"/>
      <c r="E761" s="35" t="s">
        <v>2173</v>
      </c>
    </row>
    <row r="762" spans="1:5" x14ac:dyDescent="0.2">
      <c r="A762" s="34" t="str">
        <f>HYPERLINK("http://www.daganm.co.il/sku/HDEX06R","HDEX06R")</f>
        <v>HDEX06R</v>
      </c>
      <c r="B762" t="s">
        <v>6</v>
      </c>
      <c r="C762" s="2" t="s">
        <v>667</v>
      </c>
      <c r="D762" s="32"/>
      <c r="E762" s="35" t="s">
        <v>2174</v>
      </c>
    </row>
    <row r="763" spans="1:5" x14ac:dyDescent="0.2">
      <c r="A763" s="34" t="str">
        <f>HYPERLINK("http://www.daganm.co.il/sku/HDEX-OPT2","HDEX-OPT2")</f>
        <v>HDEX-OPT2</v>
      </c>
      <c r="B763" t="s">
        <v>636</v>
      </c>
      <c r="C763" s="2" t="s">
        <v>668</v>
      </c>
      <c r="D763" s="32"/>
      <c r="E763" s="35" t="s">
        <v>2175</v>
      </c>
    </row>
    <row r="764" spans="1:5" x14ac:dyDescent="0.2">
      <c r="B764"/>
      <c r="C764" s="33" t="s">
        <v>4128</v>
      </c>
      <c r="D764" s="32"/>
      <c r="E764" s="35"/>
    </row>
    <row r="765" spans="1:5" x14ac:dyDescent="0.2">
      <c r="A765" s="34" t="str">
        <f>HYPERLINK("http://www.daganm.co.il/sku/CABLE-1700LC","CABLE-1700LC")</f>
        <v>CABLE-1700LC</v>
      </c>
      <c r="B765" t="s">
        <v>6</v>
      </c>
      <c r="C765" s="2" t="s">
        <v>3734</v>
      </c>
      <c r="D765" s="32"/>
      <c r="E765" s="35" t="s">
        <v>3983</v>
      </c>
    </row>
    <row r="766" spans="1:5" x14ac:dyDescent="0.2">
      <c r="A766" s="34" t="str">
        <f>HYPERLINK("http://www.daganm.co.il/sku/CABLE-1700A","CABLE-1700A")</f>
        <v>CABLE-1700A</v>
      </c>
      <c r="B766" t="s">
        <v>6</v>
      </c>
      <c r="C766" s="2" t="s">
        <v>3290</v>
      </c>
      <c r="D766" s="32"/>
      <c r="E766" s="35" t="s">
        <v>2176</v>
      </c>
    </row>
    <row r="767" spans="1:5" x14ac:dyDescent="0.2">
      <c r="A767" s="34" t="str">
        <f>HYPERLINK("http://www.daganm.co.il/sku/CABLE-1700AB","CABLE-1700AB")</f>
        <v>CABLE-1700AB</v>
      </c>
      <c r="B767" t="s">
        <v>6</v>
      </c>
      <c r="C767" s="2" t="s">
        <v>3291</v>
      </c>
      <c r="D767" s="32"/>
      <c r="E767" s="35" t="s">
        <v>2177</v>
      </c>
    </row>
    <row r="768" spans="1:5" x14ac:dyDescent="0.2">
      <c r="A768" s="34" t="str">
        <f>HYPERLINK("http://www.daganm.co.il/sku/CABLE-1700C","CABLE-1700C")</f>
        <v>CABLE-1700C</v>
      </c>
      <c r="B768" t="s">
        <v>6</v>
      </c>
      <c r="C768" s="2" t="s">
        <v>669</v>
      </c>
      <c r="D768" s="32"/>
      <c r="E768" s="35" t="s">
        <v>2178</v>
      </c>
    </row>
    <row r="769" spans="1:5" x14ac:dyDescent="0.2">
      <c r="A769" s="34" t="str">
        <f>HYPERLINK("http://www.daganm.co.il/sku/CABLE-1700D","CABLE-1700D")</f>
        <v>CABLE-1700D</v>
      </c>
      <c r="B769" t="s">
        <v>6</v>
      </c>
      <c r="C769" s="2" t="s">
        <v>670</v>
      </c>
      <c r="D769" s="32"/>
      <c r="E769" s="35" t="s">
        <v>2179</v>
      </c>
    </row>
    <row r="770" spans="1:5" x14ac:dyDescent="0.2">
      <c r="A770" s="34" t="str">
        <f>HYPERLINK("http://www.daganm.co.il/sku/CABLE-1700M3","CABLE-1700M3")</f>
        <v>CABLE-1700M3</v>
      </c>
      <c r="B770" t="s">
        <v>6</v>
      </c>
      <c r="C770" s="2" t="s">
        <v>3292</v>
      </c>
      <c r="D770" s="32"/>
      <c r="E770" s="32" t="s">
        <v>2180</v>
      </c>
    </row>
    <row r="771" spans="1:5" x14ac:dyDescent="0.2">
      <c r="A771" s="34" t="str">
        <f>HYPERLINK("http://www.daganm.co.il/sku/HDCN15M","HDCN15M")</f>
        <v>HDCN15M</v>
      </c>
      <c r="B771" t="s">
        <v>6</v>
      </c>
      <c r="C771" s="2" t="s">
        <v>3296</v>
      </c>
      <c r="D771" s="32"/>
      <c r="E771" s="35" t="s">
        <v>2184</v>
      </c>
    </row>
    <row r="772" spans="1:5" x14ac:dyDescent="0.2">
      <c r="A772" s="34" t="str">
        <f>HYPERLINK("http://www.daganm.co.il/sku/HDCN03M","HDCN03M")</f>
        <v>HDCN03M</v>
      </c>
      <c r="B772" t="s">
        <v>6</v>
      </c>
      <c r="C772" s="2" t="s">
        <v>3536</v>
      </c>
      <c r="D772" s="32"/>
      <c r="E772" s="35" t="s">
        <v>2181</v>
      </c>
    </row>
    <row r="773" spans="1:5" x14ac:dyDescent="0.2">
      <c r="A773" s="34" t="str">
        <f>HYPERLINK("http://www.daganm.co.il/sku/HDCN03M3","HDCN03M3")</f>
        <v>HDCN03M3</v>
      </c>
      <c r="B773" t="s">
        <v>6</v>
      </c>
      <c r="C773" s="2" t="s">
        <v>3293</v>
      </c>
      <c r="D773" s="32"/>
      <c r="E773" s="35" t="s">
        <v>2182</v>
      </c>
    </row>
    <row r="774" spans="1:5" x14ac:dyDescent="0.2">
      <c r="A774" s="34" t="str">
        <f>HYPERLINK("http://www.daganm.co.il/sku/HDCN03M4","HDCN03M4")</f>
        <v>HDCN03M4</v>
      </c>
      <c r="B774" t="s">
        <v>6</v>
      </c>
      <c r="C774" s="2" t="s">
        <v>3294</v>
      </c>
      <c r="D774" s="32"/>
      <c r="E774" s="35" t="s">
        <v>2183</v>
      </c>
    </row>
    <row r="775" spans="1:5" x14ac:dyDescent="0.2">
      <c r="A775" s="34" t="str">
        <f>HYPERLINK("http://www.daganm.co.il/sku/HDCN03M4LC","HDCN03M4LC")</f>
        <v>HDCN03M4LC</v>
      </c>
      <c r="B775" t="s">
        <v>6</v>
      </c>
      <c r="C775" s="2" t="s">
        <v>3295</v>
      </c>
      <c r="D775" s="32"/>
      <c r="E775" s="32" t="s">
        <v>3428</v>
      </c>
    </row>
    <row r="776" spans="1:5" x14ac:dyDescent="0.2">
      <c r="B776"/>
      <c r="C776" s="33" t="s">
        <v>27</v>
      </c>
      <c r="D776" s="32"/>
      <c r="E776" s="35"/>
    </row>
    <row r="777" spans="1:5" x14ac:dyDescent="0.2">
      <c r="A777" s="34" t="str">
        <f>HYPERLINK("http://www.daganm.co.il/sku/HDCN04M3","HDCN04M3")</f>
        <v>HDCN04M3</v>
      </c>
      <c r="B777" t="s">
        <v>6</v>
      </c>
      <c r="C777" s="2" t="s">
        <v>671</v>
      </c>
      <c r="D777" s="36"/>
      <c r="E777" s="35" t="s">
        <v>2185</v>
      </c>
    </row>
    <row r="778" spans="1:5" x14ac:dyDescent="0.2">
      <c r="A778" s="34" t="str">
        <f>HYPERLINK("http://www.daganm.co.il/sku/HDCN04M5","HDCN04M5")</f>
        <v>HDCN04M5</v>
      </c>
      <c r="B778" t="s">
        <v>6</v>
      </c>
      <c r="C778" s="2" t="s">
        <v>672</v>
      </c>
      <c r="D778" s="32"/>
      <c r="E778" s="35" t="s">
        <v>2186</v>
      </c>
    </row>
    <row r="779" spans="1:5" x14ac:dyDescent="0.2">
      <c r="A779" s="34" t="str">
        <f>HYPERLINK("http://www.daganm.co.il/sku/HDCN04M6","HDCN04M6")</f>
        <v>HDCN04M6</v>
      </c>
      <c r="B779" t="s">
        <v>6</v>
      </c>
      <c r="C779" s="2" t="s">
        <v>672</v>
      </c>
      <c r="D779" s="32"/>
      <c r="E779" s="32" t="s">
        <v>3984</v>
      </c>
    </row>
    <row r="780" spans="1:5" x14ac:dyDescent="0.2">
      <c r="A780" s="34" t="str">
        <f>HYPERLINK("http://www.daganm.co.il/sku/HDCN06M","HDCN06M")</f>
        <v>HDCN06M</v>
      </c>
      <c r="B780" t="s">
        <v>6</v>
      </c>
      <c r="C780" s="2" t="s">
        <v>673</v>
      </c>
      <c r="D780" s="32"/>
      <c r="E780" s="35" t="s">
        <v>2187</v>
      </c>
    </row>
    <row r="781" spans="1:5" x14ac:dyDescent="0.2">
      <c r="A781" s="34" t="str">
        <f>HYPERLINK("http://www.daganm.co.il/sku/HDCN07M","HDCN07M")</f>
        <v>HDCN07M</v>
      </c>
      <c r="B781" t="s">
        <v>6</v>
      </c>
      <c r="C781" s="2" t="s">
        <v>674</v>
      </c>
      <c r="D781" s="32"/>
      <c r="E781" s="35" t="s">
        <v>2188</v>
      </c>
    </row>
    <row r="782" spans="1:5" x14ac:dyDescent="0.2">
      <c r="A782" s="34" t="str">
        <f>HYPERLINK("http://www.daganm.co.il/sku/HDCN06M2","HDCN06M2")</f>
        <v>HDCN06M2</v>
      </c>
      <c r="B782" t="s">
        <v>6</v>
      </c>
      <c r="C782" s="2" t="s">
        <v>675</v>
      </c>
      <c r="D782" s="32"/>
      <c r="E782" s="32" t="s">
        <v>2189</v>
      </c>
    </row>
    <row r="783" spans="1:5" x14ac:dyDescent="0.2">
      <c r="A783" s="34" t="str">
        <f>HYPERLINK("http://www.daganm.co.il/sku/HDCN07M1","HDCN07M1")</f>
        <v>HDCN07M1</v>
      </c>
      <c r="B783" t="s">
        <v>6</v>
      </c>
      <c r="C783" s="2" t="s">
        <v>676</v>
      </c>
      <c r="D783" s="32"/>
      <c r="E783" s="35" t="s">
        <v>2190</v>
      </c>
    </row>
    <row r="784" spans="1:5" x14ac:dyDescent="0.2">
      <c r="A784" s="34" t="str">
        <f>HYPERLINK("http://www.daganm.co.il/sku/HDCN11","HDCN11")</f>
        <v>HDCN11</v>
      </c>
      <c r="B784" t="s">
        <v>6</v>
      </c>
      <c r="C784" s="2" t="s">
        <v>677</v>
      </c>
      <c r="D784" s="32"/>
      <c r="E784" s="35" t="s">
        <v>2191</v>
      </c>
    </row>
    <row r="785" spans="1:5" x14ac:dyDescent="0.2">
      <c r="A785" s="34" t="str">
        <f>HYPERLINK("http://www.daganm.co.il/sku/HDCN40","HDCN40")</f>
        <v>HDCN40</v>
      </c>
      <c r="B785" t="s">
        <v>6</v>
      </c>
      <c r="C785" s="2" t="s">
        <v>678</v>
      </c>
      <c r="D785" s="32"/>
      <c r="E785" s="35" t="s">
        <v>2192</v>
      </c>
    </row>
    <row r="786" spans="1:5" x14ac:dyDescent="0.2">
      <c r="A786" s="34" t="str">
        <f>HYPERLINK("http://www.daganm.co.il/sku/HDCN40-4K","HDCN40-4K")</f>
        <v>HDCN40-4K</v>
      </c>
      <c r="B786" t="s">
        <v>6</v>
      </c>
      <c r="C786" s="2" t="s">
        <v>679</v>
      </c>
      <c r="D786" s="32"/>
      <c r="E786" s="35" t="s">
        <v>2193</v>
      </c>
    </row>
    <row r="787" spans="1:5" x14ac:dyDescent="0.2">
      <c r="A787" s="34" t="str">
        <f>HYPERLINK("http://www.daganm.co.il/sku/HDCN-AHD1","HDCN-AHD1")</f>
        <v>HDCN-AHD1</v>
      </c>
      <c r="B787" t="s">
        <v>6</v>
      </c>
      <c r="C787" s="2" t="s">
        <v>680</v>
      </c>
      <c r="D787" s="32"/>
      <c r="E787" s="35" t="s">
        <v>2194</v>
      </c>
    </row>
    <row r="788" spans="1:5" x14ac:dyDescent="0.2">
      <c r="A788" s="34" t="str">
        <f>HYPERLINK("http://www.daganm.co.il/sku/HDCN-DUMMY1","HDCN-DUMMY1")</f>
        <v>HDCN-DUMMY1</v>
      </c>
      <c r="B788" t="s">
        <v>6</v>
      </c>
      <c r="C788" s="2" t="s">
        <v>3297</v>
      </c>
      <c r="D788" s="36"/>
      <c r="E788" s="35" t="s">
        <v>3429</v>
      </c>
    </row>
    <row r="789" spans="1:5" x14ac:dyDescent="0.2">
      <c r="A789" s="34" t="str">
        <f>HYPERLINK("http://www.daganm.co.il/sku/HDCN-DUMMY2","HDCN-DUMMY2")</f>
        <v>HDCN-DUMMY2</v>
      </c>
      <c r="B789" t="s">
        <v>6</v>
      </c>
      <c r="C789" s="2" t="s">
        <v>3537</v>
      </c>
      <c r="D789" s="32"/>
      <c r="E789" s="35" t="s">
        <v>3636</v>
      </c>
    </row>
    <row r="790" spans="1:5" x14ac:dyDescent="0.2">
      <c r="B790"/>
      <c r="C790" s="33" t="s">
        <v>28</v>
      </c>
      <c r="D790" s="32"/>
      <c r="E790" s="32"/>
    </row>
    <row r="791" spans="1:5" x14ac:dyDescent="0.2">
      <c r="A791" s="34" t="str">
        <f>HYPERLINK("http://www.daganm.co.il/sku/SPLIT-VGA2H","SPLIT-VGA2H")</f>
        <v>SPLIT-VGA2H</v>
      </c>
      <c r="B791" t="s">
        <v>6</v>
      </c>
      <c r="C791" s="2" t="s">
        <v>681</v>
      </c>
      <c r="D791" s="32"/>
      <c r="E791" s="32" t="s">
        <v>2195</v>
      </c>
    </row>
    <row r="792" spans="1:5" x14ac:dyDescent="0.2">
      <c r="A792" s="34" t="str">
        <f>HYPERLINK("http://www.daganm.co.il/sku/SPLIT-VGA2H*1","SPLIT-VGA2H*1")</f>
        <v>SPLIT-VGA2H*1</v>
      </c>
      <c r="B792" t="s">
        <v>6</v>
      </c>
      <c r="C792" s="2" t="s">
        <v>682</v>
      </c>
      <c r="D792" s="32"/>
      <c r="E792" s="35" t="s">
        <v>2195</v>
      </c>
    </row>
    <row r="793" spans="1:5" x14ac:dyDescent="0.2">
      <c r="A793" s="34" t="str">
        <f>HYPERLINK("http://www.daganm.co.il/sku/SPLIT-VGA2-1","SPLIT-VGA2-1")</f>
        <v>SPLIT-VGA2-1</v>
      </c>
      <c r="B793" t="s">
        <v>6</v>
      </c>
      <c r="C793" s="2" t="s">
        <v>3538</v>
      </c>
      <c r="D793" s="32"/>
      <c r="E793" s="35" t="s">
        <v>3637</v>
      </c>
    </row>
    <row r="794" spans="1:5" x14ac:dyDescent="0.2">
      <c r="A794" s="34" t="str">
        <f>HYPERLINK("http://www.daganm.co.il/sku/SPLIT-VGA4","SPLIT-VGA4")</f>
        <v>SPLIT-VGA4</v>
      </c>
      <c r="B794" t="s">
        <v>6</v>
      </c>
      <c r="C794" s="2" t="s">
        <v>683</v>
      </c>
      <c r="D794" s="32"/>
      <c r="E794" s="35" t="s">
        <v>2196</v>
      </c>
    </row>
    <row r="795" spans="1:5" x14ac:dyDescent="0.2">
      <c r="A795" s="34" t="str">
        <f>HYPERLINK("http://www.daganm.co.il/sku/SPLIT-VGA4-1","SPLIT-VGA4-1")</f>
        <v>SPLIT-VGA4-1</v>
      </c>
      <c r="B795" t="s">
        <v>6</v>
      </c>
      <c r="C795" s="2" t="s">
        <v>684</v>
      </c>
      <c r="D795" s="32"/>
      <c r="E795" s="35" t="s">
        <v>2197</v>
      </c>
    </row>
    <row r="796" spans="1:5" x14ac:dyDescent="0.2">
      <c r="A796" s="34" t="str">
        <f>HYPERLINK("http://www.daganm.co.il/sku/SPLIT-VGA8","SPLIT-VGA8")</f>
        <v>SPLIT-VGA8</v>
      </c>
      <c r="B796" t="s">
        <v>6</v>
      </c>
      <c r="C796" s="2" t="s">
        <v>685</v>
      </c>
      <c r="D796" s="32"/>
      <c r="E796" s="35" t="s">
        <v>2198</v>
      </c>
    </row>
    <row r="797" spans="1:5" x14ac:dyDescent="0.2">
      <c r="A797" s="34" t="str">
        <f>HYPERLINK("http://www.daganm.co.il/sku/CMP-SWITCH50","CMP-SWITCH50")</f>
        <v>CMP-SWITCH50</v>
      </c>
      <c r="B797" t="s">
        <v>6</v>
      </c>
      <c r="C797" s="2" t="s">
        <v>686</v>
      </c>
      <c r="D797" s="32"/>
      <c r="E797" s="35" t="s">
        <v>2199</v>
      </c>
    </row>
    <row r="798" spans="1:5" x14ac:dyDescent="0.2">
      <c r="A798" s="34" t="str">
        <f>HYPERLINK("http://www.daganm.co.il/sku/CMP-SWITCH55","CMP-SWITCH55")</f>
        <v>CMP-SWITCH55</v>
      </c>
      <c r="B798" t="s">
        <v>6</v>
      </c>
      <c r="C798" s="2" t="s">
        <v>687</v>
      </c>
      <c r="D798" s="36"/>
      <c r="E798" s="35" t="s">
        <v>2200</v>
      </c>
    </row>
    <row r="799" spans="1:5" x14ac:dyDescent="0.2">
      <c r="A799" s="34" t="str">
        <f>HYPERLINK("http://www.daganm.co.il/sku/VRM-712E","VRM-712E")</f>
        <v>VRM-712E</v>
      </c>
      <c r="B799" t="s">
        <v>6</v>
      </c>
      <c r="C799" s="2" t="s">
        <v>688</v>
      </c>
      <c r="D799" s="36" t="s">
        <v>2</v>
      </c>
      <c r="E799" s="35" t="s">
        <v>2201</v>
      </c>
    </row>
    <row r="800" spans="1:5" x14ac:dyDescent="0.2">
      <c r="B800"/>
      <c r="C800" s="33" t="s">
        <v>29</v>
      </c>
      <c r="D800" s="32"/>
      <c r="E800" s="35"/>
    </row>
    <row r="801" spans="1:5" x14ac:dyDescent="0.2">
      <c r="A801" s="34" t="str">
        <f>HYPERLINK("http://www.daganm.co.il/sku/TEL4724","TEL4724")</f>
        <v>TEL4724</v>
      </c>
      <c r="B801" t="s">
        <v>6</v>
      </c>
      <c r="C801" s="2" t="s">
        <v>3298</v>
      </c>
      <c r="D801" s="32"/>
      <c r="E801" s="35" t="s">
        <v>2202</v>
      </c>
    </row>
    <row r="802" spans="1:5" x14ac:dyDescent="0.2">
      <c r="A802" s="34" t="str">
        <f>HYPERLINK("http://www.daganm.co.il/sku/TEL4725","TEL4725")</f>
        <v>TEL4725</v>
      </c>
      <c r="B802" t="s">
        <v>6</v>
      </c>
      <c r="C802" s="2" t="s">
        <v>3299</v>
      </c>
      <c r="D802" s="32"/>
      <c r="E802" s="35" t="s">
        <v>2203</v>
      </c>
    </row>
    <row r="803" spans="1:5" x14ac:dyDescent="0.2">
      <c r="A803" s="34" t="str">
        <f>HYPERLINK("http://www.daganm.co.il/sku/CMP-EXVGA1","CMP-EXVGA1")</f>
        <v>CMP-EXVGA1</v>
      </c>
      <c r="B803" t="s">
        <v>6</v>
      </c>
      <c r="C803" s="2" t="s">
        <v>690</v>
      </c>
      <c r="D803" s="32"/>
      <c r="E803" s="35" t="s">
        <v>2204</v>
      </c>
    </row>
    <row r="804" spans="1:5" x14ac:dyDescent="0.2">
      <c r="A804" s="34" t="str">
        <f>HYPERLINK("http://www.daganm.co.il/sku/VGA-EXTEND20","VGA-EXTEND20")</f>
        <v>VGA-EXTEND20</v>
      </c>
      <c r="B804" t="s">
        <v>636</v>
      </c>
      <c r="C804" s="2" t="s">
        <v>689</v>
      </c>
      <c r="D804" s="32"/>
      <c r="E804" s="35" t="s">
        <v>3430</v>
      </c>
    </row>
    <row r="805" spans="1:5" x14ac:dyDescent="0.2">
      <c r="B805"/>
      <c r="C805" s="33" t="s">
        <v>3300</v>
      </c>
      <c r="D805" s="32"/>
      <c r="E805" s="35"/>
    </row>
    <row r="806" spans="1:5" x14ac:dyDescent="0.2">
      <c r="A806" s="34" t="str">
        <f>HYPERLINK("http://www.daganm.co.il/sku/SPLIT-DVI2","SPLIT-DVI2")</f>
        <v>SPLIT-DVI2</v>
      </c>
      <c r="B806" t="s">
        <v>6</v>
      </c>
      <c r="C806" s="2" t="s">
        <v>691</v>
      </c>
      <c r="D806" s="32"/>
      <c r="E806" s="35" t="s">
        <v>2205</v>
      </c>
    </row>
    <row r="807" spans="1:5" x14ac:dyDescent="0.2">
      <c r="A807" s="34" t="str">
        <f>HYPERLINK("http://www.daganm.co.il/sku/SPLIT-DVI4","SPLIT-DVI4")</f>
        <v>SPLIT-DVI4</v>
      </c>
      <c r="B807" t="s">
        <v>6</v>
      </c>
      <c r="C807" s="2" t="s">
        <v>692</v>
      </c>
      <c r="D807" s="32"/>
      <c r="E807" s="35" t="s">
        <v>2206</v>
      </c>
    </row>
    <row r="808" spans="1:5" x14ac:dyDescent="0.2">
      <c r="A808" s="34" t="str">
        <f>HYPERLINK("http://www.daganm.co.il/sku/SPLIT-DVI8","SPLIT-DVI8")</f>
        <v>SPLIT-DVI8</v>
      </c>
      <c r="B808" t="s">
        <v>6</v>
      </c>
      <c r="C808" s="2" t="s">
        <v>693</v>
      </c>
      <c r="D808" s="32"/>
      <c r="E808" s="35" t="s">
        <v>2207</v>
      </c>
    </row>
    <row r="809" spans="1:5" x14ac:dyDescent="0.2">
      <c r="B809"/>
      <c r="C809" s="33" t="s">
        <v>30</v>
      </c>
      <c r="D809" s="32"/>
      <c r="E809" s="35"/>
    </row>
    <row r="810" spans="1:5" x14ac:dyDescent="0.2">
      <c r="A810" s="34" t="str">
        <f>HYPERLINK("http://www.daganm.co.il/sku/AVSPLIT-4C","AVSPLIT-4C")</f>
        <v>AVSPLIT-4C</v>
      </c>
      <c r="B810" t="s">
        <v>6</v>
      </c>
      <c r="C810" s="2" t="s">
        <v>694</v>
      </c>
      <c r="D810" s="32"/>
      <c r="E810" s="35" t="s">
        <v>2208</v>
      </c>
    </row>
    <row r="811" spans="1:5" x14ac:dyDescent="0.2">
      <c r="A811" s="34" t="str">
        <f>HYPERLINK("http://www.daganm.co.il/sku/AVSPLIT-8C","AVSPLIT-8C")</f>
        <v>AVSPLIT-8C</v>
      </c>
      <c r="B811" t="s">
        <v>6</v>
      </c>
      <c r="C811" s="2" t="s">
        <v>695</v>
      </c>
      <c r="D811" s="32"/>
      <c r="E811" s="35" t="s">
        <v>2209</v>
      </c>
    </row>
    <row r="812" spans="1:5" x14ac:dyDescent="0.2">
      <c r="B812"/>
      <c r="C812" s="33" t="s">
        <v>3301</v>
      </c>
      <c r="D812" s="32"/>
      <c r="E812" s="35"/>
    </row>
    <row r="813" spans="1:5" x14ac:dyDescent="0.2">
      <c r="A813" s="34" t="str">
        <f>HYPERLINK("http://www.daganm.co.il/sku/AUDIO-EX1","AUDIO-EX1")</f>
        <v>AUDIO-EX1</v>
      </c>
      <c r="B813" t="s">
        <v>6</v>
      </c>
      <c r="C813" s="2" t="s">
        <v>3735</v>
      </c>
      <c r="D813" s="32"/>
      <c r="E813" s="35" t="s">
        <v>2210</v>
      </c>
    </row>
    <row r="814" spans="1:5" x14ac:dyDescent="0.2">
      <c r="A814" s="34" t="str">
        <f>HYPERLINK("http://www.daganm.co.il/sku/AUDIO-EX2","AUDIO-EX2")</f>
        <v>AUDIO-EX2</v>
      </c>
      <c r="B814" t="s">
        <v>6</v>
      </c>
      <c r="C814" s="2" t="s">
        <v>3736</v>
      </c>
      <c r="D814" s="32"/>
      <c r="E814" s="35" t="s">
        <v>2211</v>
      </c>
    </row>
    <row r="815" spans="1:5" x14ac:dyDescent="0.2">
      <c r="A815" s="34" t="str">
        <f>HYPERLINK("http://www.daganm.co.il/sku/AUDIO-EX15","AUDIO-EX15")</f>
        <v>AUDIO-EX15</v>
      </c>
      <c r="B815" t="s">
        <v>6</v>
      </c>
      <c r="C815" s="2" t="s">
        <v>3737</v>
      </c>
      <c r="D815" s="32"/>
      <c r="E815" s="35" t="s">
        <v>3985</v>
      </c>
    </row>
    <row r="816" spans="1:5" x14ac:dyDescent="0.2">
      <c r="A816" s="34" t="str">
        <f>HYPERLINK("http://www.daganm.co.il/sku/AUDIO-EX25","AUDIO-EX25")</f>
        <v>AUDIO-EX25</v>
      </c>
      <c r="B816" t="s">
        <v>6</v>
      </c>
      <c r="C816" s="2" t="s">
        <v>3738</v>
      </c>
      <c r="D816" s="32"/>
      <c r="E816" s="35" t="s">
        <v>3986</v>
      </c>
    </row>
    <row r="817" spans="1:5" x14ac:dyDescent="0.2">
      <c r="A817" s="34" t="str">
        <f>HYPERLINK("http://www.daganm.co.il/sku/AUDIO-EX38","AUDIO-EX38")</f>
        <v>AUDIO-EX38</v>
      </c>
      <c r="B817" t="s">
        <v>636</v>
      </c>
      <c r="C817" s="2" t="s">
        <v>3302</v>
      </c>
      <c r="D817" s="32"/>
      <c r="E817" s="35" t="s">
        <v>3431</v>
      </c>
    </row>
    <row r="818" spans="1:5" x14ac:dyDescent="0.2">
      <c r="A818" s="34" t="str">
        <f>HYPERLINK("http://www.daganm.co.il/sku/AUDIO-EX39","AUDIO-EX39")</f>
        <v>AUDIO-EX39</v>
      </c>
      <c r="B818" t="s">
        <v>636</v>
      </c>
      <c r="C818" s="2" t="s">
        <v>3739</v>
      </c>
      <c r="D818" s="32"/>
      <c r="E818" s="35" t="s">
        <v>3987</v>
      </c>
    </row>
    <row r="819" spans="1:5" x14ac:dyDescent="0.2">
      <c r="A819" s="34" t="str">
        <f>HYPERLINK("http://www.daganm.co.il/sku/BALUN10","BALUN10")</f>
        <v>BALUN10</v>
      </c>
      <c r="B819" t="s">
        <v>6</v>
      </c>
      <c r="C819" s="2" t="s">
        <v>696</v>
      </c>
      <c r="D819" s="32" t="s">
        <v>2</v>
      </c>
      <c r="E819" s="35" t="s">
        <v>2212</v>
      </c>
    </row>
    <row r="820" spans="1:5" ht="16.5" x14ac:dyDescent="0.25">
      <c r="B820"/>
      <c r="C820" s="31" t="s">
        <v>31</v>
      </c>
      <c r="D820" s="32"/>
      <c r="E820" s="35"/>
    </row>
    <row r="821" spans="1:5" x14ac:dyDescent="0.2">
      <c r="B821"/>
      <c r="C821" s="33" t="s">
        <v>31</v>
      </c>
      <c r="D821" s="32"/>
      <c r="E821" s="35"/>
    </row>
    <row r="822" spans="1:5" x14ac:dyDescent="0.2">
      <c r="A822" s="34" t="str">
        <f>HYPERLINK("http://www.daganm.co.il/sku/KVM5502","KVM5502")</f>
        <v>KVM5502</v>
      </c>
      <c r="B822" t="s">
        <v>6</v>
      </c>
      <c r="C822" s="2" t="s">
        <v>697</v>
      </c>
      <c r="D822" s="32"/>
      <c r="E822" s="35" t="s">
        <v>2213</v>
      </c>
    </row>
    <row r="823" spans="1:5" x14ac:dyDescent="0.2">
      <c r="A823" s="34" t="str">
        <f>HYPERLINK("http://www.daganm.co.il/sku/KVM5504","KVM5504")</f>
        <v>KVM5504</v>
      </c>
      <c r="B823" t="s">
        <v>6</v>
      </c>
      <c r="C823" s="2" t="s">
        <v>698</v>
      </c>
      <c r="D823" s="32"/>
      <c r="E823" s="35" t="s">
        <v>2214</v>
      </c>
    </row>
    <row r="824" spans="1:5" x14ac:dyDescent="0.2">
      <c r="A824" s="34" t="str">
        <f>HYPERLINK("http://www.daganm.co.il/sku/KVM0102M","KVM0102M")</f>
        <v>KVM0102M</v>
      </c>
      <c r="B824" t="s">
        <v>6</v>
      </c>
      <c r="C824" s="2" t="s">
        <v>3740</v>
      </c>
      <c r="D824" s="32"/>
      <c r="E824" s="35" t="s">
        <v>3988</v>
      </c>
    </row>
    <row r="825" spans="1:5" x14ac:dyDescent="0.2">
      <c r="A825" s="34" t="str">
        <f>HYPERLINK("http://www.daganm.co.il/sku/KVM0502-1","KVM0502-1")</f>
        <v>KVM0502-1</v>
      </c>
      <c r="B825" t="s">
        <v>6</v>
      </c>
      <c r="C825" s="2" t="s">
        <v>700</v>
      </c>
      <c r="D825" s="32"/>
      <c r="E825" s="32" t="s">
        <v>2215</v>
      </c>
    </row>
    <row r="826" spans="1:5" x14ac:dyDescent="0.2">
      <c r="A826" s="34" t="str">
        <f>HYPERLINK("http://www.daganm.co.il/sku/KVM1602","KVM1602")</f>
        <v>KVM1602</v>
      </c>
      <c r="B826" t="s">
        <v>6</v>
      </c>
      <c r="C826" s="2" t="s">
        <v>699</v>
      </c>
      <c r="D826" s="32"/>
      <c r="E826" s="32" t="s">
        <v>2216</v>
      </c>
    </row>
    <row r="827" spans="1:5" x14ac:dyDescent="0.2">
      <c r="A827" s="34" t="str">
        <f>HYPERLINK("http://www.daganm.co.il/sku/KVM1604","KVM1604")</f>
        <v>KVM1604</v>
      </c>
      <c r="B827" t="s">
        <v>6</v>
      </c>
      <c r="C827" s="2" t="s">
        <v>701</v>
      </c>
      <c r="D827" s="32"/>
      <c r="E827" s="35" t="s">
        <v>2217</v>
      </c>
    </row>
    <row r="828" spans="1:5" x14ac:dyDescent="0.2">
      <c r="A828" s="34" t="str">
        <f>HYPERLINK("http://www.daganm.co.il/sku/KVM1659-2","KVM1659-2")</f>
        <v>KVM1659-2</v>
      </c>
      <c r="B828" t="s">
        <v>6</v>
      </c>
      <c r="C828" s="2" t="s">
        <v>3741</v>
      </c>
      <c r="D828" s="32"/>
      <c r="E828" s="35" t="s">
        <v>3989</v>
      </c>
    </row>
    <row r="829" spans="1:5" x14ac:dyDescent="0.2">
      <c r="A829" s="34" t="str">
        <f>HYPERLINK("http://www.daganm.co.il/sku/KVM1659-4","KVM1659-4")</f>
        <v>KVM1659-4</v>
      </c>
      <c r="B829" t="s">
        <v>6</v>
      </c>
      <c r="C829" s="2" t="s">
        <v>3742</v>
      </c>
      <c r="D829" s="32"/>
      <c r="E829" s="35" t="s">
        <v>3990</v>
      </c>
    </row>
    <row r="830" spans="1:5" x14ac:dyDescent="0.2">
      <c r="A830" s="34" t="str">
        <f>HYPERLINK("http://www.daganm.co.il/sku/KVM1702","KVM1702")</f>
        <v>KVM1702</v>
      </c>
      <c r="B830" t="s">
        <v>6</v>
      </c>
      <c r="C830" s="2" t="s">
        <v>702</v>
      </c>
      <c r="D830" s="32"/>
      <c r="E830" s="35" t="s">
        <v>2218</v>
      </c>
    </row>
    <row r="831" spans="1:5" x14ac:dyDescent="0.2">
      <c r="A831" s="34" t="str">
        <f>HYPERLINK("http://www.daganm.co.il/sku/KVM1704","KVM1704")</f>
        <v>KVM1704</v>
      </c>
      <c r="B831" t="s">
        <v>6</v>
      </c>
      <c r="C831" s="2" t="s">
        <v>3303</v>
      </c>
      <c r="D831" s="32"/>
      <c r="E831" s="35" t="s">
        <v>3432</v>
      </c>
    </row>
    <row r="832" spans="1:5" x14ac:dyDescent="0.2">
      <c r="A832" s="34" t="str">
        <f>HYPERLINK("http://www.daganm.co.il/sku/KVMDP50-2","KVMDP50-2")</f>
        <v>KVMDP50-2</v>
      </c>
      <c r="B832" t="s">
        <v>6</v>
      </c>
      <c r="C832" s="2" t="s">
        <v>3304</v>
      </c>
      <c r="D832" s="32"/>
      <c r="E832" s="35" t="s">
        <v>3433</v>
      </c>
    </row>
    <row r="833" spans="1:5" x14ac:dyDescent="0.2">
      <c r="A833" s="34" t="str">
        <f>HYPERLINK("http://www.daganm.co.il/sku/KVMDP50-4","KVMDP50-4")</f>
        <v>KVMDP50-4</v>
      </c>
      <c r="B833" t="s">
        <v>6</v>
      </c>
      <c r="C833" s="2" t="s">
        <v>3305</v>
      </c>
      <c r="D833" s="32"/>
      <c r="E833" s="35" t="s">
        <v>3434</v>
      </c>
    </row>
    <row r="834" spans="1:5" x14ac:dyDescent="0.2">
      <c r="A834" s="34" t="str">
        <f>HYPERLINK("http://www.daganm.co.il/sku/KVMDP35-2","KVMDP35-2")</f>
        <v>KVMDP35-2</v>
      </c>
      <c r="B834" t="s">
        <v>6</v>
      </c>
      <c r="C834" s="2" t="s">
        <v>3539</v>
      </c>
      <c r="D834" s="32"/>
      <c r="E834" s="35" t="s">
        <v>3638</v>
      </c>
    </row>
    <row r="835" spans="1:5" x14ac:dyDescent="0.2">
      <c r="A835" s="34" t="str">
        <f>HYPERLINK("http://www.daganm.co.il/sku/KVMDP43DH-2","KVMDP43DH-2")</f>
        <v>KVMDP43DH-2</v>
      </c>
      <c r="B835" t="s">
        <v>6</v>
      </c>
      <c r="C835" s="2" t="s">
        <v>3540</v>
      </c>
      <c r="D835" s="32"/>
      <c r="E835" s="35" t="s">
        <v>3639</v>
      </c>
    </row>
    <row r="836" spans="1:5" x14ac:dyDescent="0.2">
      <c r="A836" s="37" t="str">
        <f>HYPERLINK("http://www.daganm.co.il/sku/KVM1674-2","KVM1674-2")</f>
        <v>KVM1674-2</v>
      </c>
      <c r="B836" t="s">
        <v>6</v>
      </c>
      <c r="C836" s="2" t="s">
        <v>4129</v>
      </c>
      <c r="D836" s="32"/>
      <c r="E836" s="35" t="s">
        <v>4266</v>
      </c>
    </row>
    <row r="837" spans="1:5" x14ac:dyDescent="0.2">
      <c r="A837" s="37" t="str">
        <f>HYPERLINK("http://www.daganm.co.il/sku/KVM1674-4","KVM1674-4")</f>
        <v>KVM1674-4</v>
      </c>
      <c r="B837" t="s">
        <v>6</v>
      </c>
      <c r="C837" s="2" t="s">
        <v>4130</v>
      </c>
      <c r="D837" s="32"/>
      <c r="E837" s="35" t="s">
        <v>4267</v>
      </c>
    </row>
    <row r="838" spans="1:5" x14ac:dyDescent="0.2">
      <c r="A838" s="34" t="str">
        <f>HYPERLINK("http://www.daganm.co.il/sku/USBSW2A1","USBSW2A1")</f>
        <v>USBSW2A1</v>
      </c>
      <c r="B838" t="s">
        <v>6</v>
      </c>
      <c r="C838" s="2" t="s">
        <v>703</v>
      </c>
      <c r="D838" s="32"/>
      <c r="E838" s="35" t="s">
        <v>2219</v>
      </c>
    </row>
    <row r="839" spans="1:5" x14ac:dyDescent="0.2">
      <c r="A839" s="34" t="str">
        <f>HYPERLINK("http://www.daganm.co.il/sku/USBSW4A1","USBSW4A1")</f>
        <v>USBSW4A1</v>
      </c>
      <c r="B839" t="s">
        <v>6</v>
      </c>
      <c r="C839" s="2" t="s">
        <v>704</v>
      </c>
      <c r="D839" s="32"/>
      <c r="E839" s="35" t="s">
        <v>2220</v>
      </c>
    </row>
    <row r="840" spans="1:5" x14ac:dyDescent="0.2">
      <c r="A840" s="34" t="str">
        <f>HYPERLINK("http://www.daganm.co.il/sku/USBSW31-2","USBSW31-2")</f>
        <v>USBSW31-2</v>
      </c>
      <c r="B840" t="s">
        <v>6</v>
      </c>
      <c r="C840" s="2" t="s">
        <v>705</v>
      </c>
      <c r="D840" s="32"/>
      <c r="E840" s="35" t="s">
        <v>2221</v>
      </c>
    </row>
    <row r="841" spans="1:5" x14ac:dyDescent="0.2">
      <c r="A841" s="34" t="str">
        <f>HYPERLINK("http://www.daganm.co.il/sku/USBSW35-4","USBSW35-4")</f>
        <v>USBSW35-4</v>
      </c>
      <c r="B841" t="s">
        <v>6</v>
      </c>
      <c r="C841" s="2" t="s">
        <v>3541</v>
      </c>
      <c r="D841" s="32"/>
      <c r="E841" s="35" t="s">
        <v>3640</v>
      </c>
    </row>
    <row r="842" spans="1:5" x14ac:dyDescent="0.2">
      <c r="A842" s="37" t="str">
        <f>HYPERLINK("http://www.daganm.co.il/sku/USBSW35-44","USBSW35-44")</f>
        <v>USBSW35-44</v>
      </c>
      <c r="B842" t="s">
        <v>6</v>
      </c>
      <c r="C842" s="2" t="s">
        <v>4131</v>
      </c>
      <c r="D842" s="32"/>
      <c r="E842" s="35" t="s">
        <v>4268</v>
      </c>
    </row>
    <row r="843" spans="1:5" x14ac:dyDescent="0.2">
      <c r="A843" s="34" t="str">
        <f>HYPERLINK("http://www.daganm.co.il/sku/KVM-EXTEND24","KVM-EXTEND24")</f>
        <v>KVM-EXTEND24</v>
      </c>
      <c r="B843" t="s">
        <v>636</v>
      </c>
      <c r="C843" s="2" t="s">
        <v>706</v>
      </c>
      <c r="D843" s="32"/>
      <c r="E843" s="35" t="s">
        <v>3641</v>
      </c>
    </row>
    <row r="844" spans="1:5" x14ac:dyDescent="0.2">
      <c r="A844" s="34" t="str">
        <f>HYPERLINK("http://www.daganm.co.il/sku/KVM-EXTEND27","KVM-EXTEND27")</f>
        <v>KVM-EXTEND27</v>
      </c>
      <c r="B844" t="s">
        <v>636</v>
      </c>
      <c r="C844" s="2" t="s">
        <v>707</v>
      </c>
      <c r="D844" s="32"/>
      <c r="E844" s="35" t="s">
        <v>2222</v>
      </c>
    </row>
    <row r="845" spans="1:5" x14ac:dyDescent="0.2">
      <c r="A845" s="34" t="str">
        <f>HYPERLINK("http://www.daganm.co.il/sku/KVM-EXTEND28","KVM-EXTEND28")</f>
        <v>KVM-EXTEND28</v>
      </c>
      <c r="B845" t="s">
        <v>636</v>
      </c>
      <c r="C845" s="2" t="s">
        <v>707</v>
      </c>
      <c r="D845" s="32"/>
      <c r="E845" s="35" t="s">
        <v>3991</v>
      </c>
    </row>
    <row r="846" spans="1:5" x14ac:dyDescent="0.2">
      <c r="A846" s="34" t="str">
        <f>HYPERLINK("http://www.daganm.co.il/sku/KVM-EXTEND38","KVM-EXTEND38")</f>
        <v>KVM-EXTEND38</v>
      </c>
      <c r="B846" t="s">
        <v>636</v>
      </c>
      <c r="C846" s="2" t="s">
        <v>708</v>
      </c>
      <c r="D846" s="32"/>
      <c r="E846" s="32" t="s">
        <v>2223</v>
      </c>
    </row>
    <row r="847" spans="1:5" x14ac:dyDescent="0.2">
      <c r="A847" s="34" t="str">
        <f>HYPERLINK("http://www.daganm.co.il/sku/KVM-EXTEND39P","KVM-EXTEND39P")</f>
        <v>KVM-EXTEND39P</v>
      </c>
      <c r="B847" t="s">
        <v>636</v>
      </c>
      <c r="C847" s="2" t="s">
        <v>3743</v>
      </c>
      <c r="D847" s="32"/>
      <c r="E847" s="32" t="s">
        <v>3992</v>
      </c>
    </row>
    <row r="848" spans="1:5" x14ac:dyDescent="0.2">
      <c r="A848" s="34" t="str">
        <f>HYPERLINK("http://www.daganm.co.il/sku/KVM-EXTEND45","KVM-EXTEND45")</f>
        <v>KVM-EXTEND45</v>
      </c>
      <c r="B848" t="s">
        <v>636</v>
      </c>
      <c r="C848" s="2" t="s">
        <v>3306</v>
      </c>
      <c r="D848" s="32"/>
      <c r="E848" s="35" t="s">
        <v>3435</v>
      </c>
    </row>
    <row r="849" spans="1:5" x14ac:dyDescent="0.2">
      <c r="A849" s="34" t="str">
        <f>HYPERLINK("http://www.daganm.co.il/sku/CMP-USBEXTEND","CMP-USBEXTEND")</f>
        <v>CMP-USBEXTEND</v>
      </c>
      <c r="B849" t="s">
        <v>636</v>
      </c>
      <c r="C849" s="2" t="s">
        <v>709</v>
      </c>
      <c r="D849" s="32"/>
      <c r="E849" s="35" t="s">
        <v>2224</v>
      </c>
    </row>
    <row r="850" spans="1:5" x14ac:dyDescent="0.2">
      <c r="A850" s="34" t="str">
        <f>HYPERLINK("http://www.daganm.co.il/sku/CMP-USBEXTEND2","CMP-USBEXTEND2")</f>
        <v>CMP-USBEXTEND2</v>
      </c>
      <c r="B850" t="s">
        <v>636</v>
      </c>
      <c r="C850" s="2" t="s">
        <v>710</v>
      </c>
      <c r="D850" s="32"/>
      <c r="E850" s="35" t="s">
        <v>2225</v>
      </c>
    </row>
    <row r="851" spans="1:5" x14ac:dyDescent="0.2">
      <c r="A851" s="34" t="str">
        <f>HYPERLINK("http://www.daganm.co.il/sku/CMP-USBEXTEND7","CMP-USBEXTEND7")</f>
        <v>CMP-USBEXTEND7</v>
      </c>
      <c r="B851" t="s">
        <v>636</v>
      </c>
      <c r="C851" s="2" t="s">
        <v>711</v>
      </c>
      <c r="D851" s="32"/>
      <c r="E851" s="35" t="s">
        <v>2226</v>
      </c>
    </row>
    <row r="852" spans="1:5" x14ac:dyDescent="0.2">
      <c r="A852" s="34" t="str">
        <f>HYPERLINK("http://www.daganm.co.il/sku/USBEXTEND-8","USBEXTEND-8")</f>
        <v>USBEXTEND-8</v>
      </c>
      <c r="B852" t="s">
        <v>636</v>
      </c>
      <c r="C852" s="2" t="s">
        <v>712</v>
      </c>
      <c r="D852" s="32"/>
      <c r="E852" s="35" t="s">
        <v>2227</v>
      </c>
    </row>
    <row r="853" spans="1:5" x14ac:dyDescent="0.2">
      <c r="A853" s="34" t="str">
        <f>HYPERLINK("http://www.daganm.co.il/sku/MS-6U1C","MS-6U1C")</f>
        <v>MS-6U1C</v>
      </c>
      <c r="B853" t="s">
        <v>636</v>
      </c>
      <c r="C853" s="2" t="s">
        <v>713</v>
      </c>
      <c r="D853" s="32" t="s">
        <v>2</v>
      </c>
      <c r="E853" s="35" t="s">
        <v>2228</v>
      </c>
    </row>
    <row r="854" spans="1:5" x14ac:dyDescent="0.2">
      <c r="A854" s="34" t="str">
        <f>HYPERLINK("http://www.daganm.co.il/sku/SWITCH62","SWITCH62")</f>
        <v>SWITCH62</v>
      </c>
      <c r="B854" t="s">
        <v>6</v>
      </c>
      <c r="C854" s="2" t="s">
        <v>714</v>
      </c>
      <c r="D854" s="32"/>
      <c r="E854" s="35" t="s">
        <v>2229</v>
      </c>
    </row>
    <row r="855" spans="1:5" x14ac:dyDescent="0.2">
      <c r="A855" s="34" t="str">
        <f>HYPERLINK("http://www.daganm.co.il/sku/SWITCH64","SWITCH64")</f>
        <v>SWITCH64</v>
      </c>
      <c r="B855" t="s">
        <v>6</v>
      </c>
      <c r="C855" s="2" t="s">
        <v>715</v>
      </c>
      <c r="D855" s="32"/>
      <c r="E855" s="35" t="s">
        <v>2230</v>
      </c>
    </row>
    <row r="856" spans="1:5" x14ac:dyDescent="0.2">
      <c r="A856" s="34" t="str">
        <f>HYPERLINK("http://www.daganm.co.il/sku/SWITCH72","SWITCH72")</f>
        <v>SWITCH72</v>
      </c>
      <c r="B856" t="s">
        <v>6</v>
      </c>
      <c r="C856" s="2" t="s">
        <v>716</v>
      </c>
      <c r="D856" s="32">
        <v>45442</v>
      </c>
      <c r="E856" s="35" t="s">
        <v>2231</v>
      </c>
    </row>
    <row r="857" spans="1:5" x14ac:dyDescent="0.2">
      <c r="A857" s="34" t="str">
        <f>HYPERLINK("http://www.daganm.co.il/sku/SWITCH74","SWITCH74")</f>
        <v>SWITCH74</v>
      </c>
      <c r="B857" t="s">
        <v>6</v>
      </c>
      <c r="C857" s="2" t="s">
        <v>717</v>
      </c>
      <c r="D857" s="32">
        <v>45442</v>
      </c>
      <c r="E857" s="35" t="s">
        <v>2232</v>
      </c>
    </row>
    <row r="858" spans="1:5" ht="16.5" x14ac:dyDescent="0.25">
      <c r="B858"/>
      <c r="C858" s="31" t="s">
        <v>32</v>
      </c>
      <c r="D858" s="32"/>
      <c r="E858" s="35"/>
    </row>
    <row r="859" spans="1:5" x14ac:dyDescent="0.2">
      <c r="B859"/>
      <c r="C859" s="33" t="s">
        <v>32</v>
      </c>
      <c r="D859" s="32"/>
      <c r="E859" s="32"/>
    </row>
    <row r="860" spans="1:5" x14ac:dyDescent="0.2">
      <c r="A860" s="34" t="str">
        <f>HYPERLINK("http://www.daganm.co.il/sku/CXR005","CXR005")</f>
        <v>CXR005</v>
      </c>
      <c r="B860" t="s">
        <v>718</v>
      </c>
      <c r="C860" s="2" t="s">
        <v>719</v>
      </c>
      <c r="D860" s="32"/>
      <c r="E860" s="35" t="s">
        <v>2233</v>
      </c>
    </row>
    <row r="861" spans="1:5" x14ac:dyDescent="0.2">
      <c r="A861" s="34" t="str">
        <f>HYPERLINK("http://www.daganm.co.il/sku/BNC-005PR","BNC-005PR")</f>
        <v>BNC-005PR</v>
      </c>
      <c r="B861" t="s">
        <v>6</v>
      </c>
      <c r="C861" s="2" t="s">
        <v>720</v>
      </c>
      <c r="D861" s="32"/>
      <c r="E861" s="35" t="s">
        <v>2234</v>
      </c>
    </row>
    <row r="862" spans="1:5" x14ac:dyDescent="0.2">
      <c r="A862" s="34" t="str">
        <f>HYPERLINK("http://www.daganm.co.il/sku/BNC-BOOT1","BNC-BOOT1")</f>
        <v>BNC-BOOT1</v>
      </c>
      <c r="B862" t="s">
        <v>6</v>
      </c>
      <c r="C862" s="2" t="s">
        <v>721</v>
      </c>
      <c r="D862" s="32">
        <v>45442</v>
      </c>
      <c r="E862" s="35" t="s">
        <v>2235</v>
      </c>
    </row>
    <row r="863" spans="1:5" x14ac:dyDescent="0.2">
      <c r="A863" s="34" t="str">
        <f>HYPERLINK("http://www.daganm.co.il/sku/CXR005-0.5","CXR005-0.5")</f>
        <v>CXR005-0.5</v>
      </c>
      <c r="B863" t="s">
        <v>6</v>
      </c>
      <c r="C863" s="2" t="s">
        <v>722</v>
      </c>
      <c r="D863" s="32">
        <v>45442</v>
      </c>
      <c r="E863" s="35" t="s">
        <v>2236</v>
      </c>
    </row>
    <row r="864" spans="1:5" x14ac:dyDescent="0.2">
      <c r="A864" s="34" t="str">
        <f>HYPERLINK("http://www.daganm.co.il/sku/CXR005-1","CXR005-1")</f>
        <v>CXR005-1</v>
      </c>
      <c r="B864" t="s">
        <v>6</v>
      </c>
      <c r="C864" s="2" t="s">
        <v>723</v>
      </c>
      <c r="D864" s="32"/>
      <c r="E864" s="35" t="s">
        <v>2237</v>
      </c>
    </row>
    <row r="865" spans="1:5" x14ac:dyDescent="0.2">
      <c r="A865" s="34" t="str">
        <f>HYPERLINK("http://www.daganm.co.il/sku/CXR005-2","CXR005-2")</f>
        <v>CXR005-2</v>
      </c>
      <c r="B865" t="s">
        <v>6</v>
      </c>
      <c r="C865" s="2" t="s">
        <v>724</v>
      </c>
      <c r="D865" s="32"/>
      <c r="E865" s="35" t="s">
        <v>2238</v>
      </c>
    </row>
    <row r="866" spans="1:5" x14ac:dyDescent="0.2">
      <c r="A866" s="34" t="str">
        <f>HYPERLINK("http://www.daganm.co.il/sku/CXR005-3","CXR005-3")</f>
        <v>CXR005-3</v>
      </c>
      <c r="B866" t="s">
        <v>6</v>
      </c>
      <c r="C866" s="2" t="s">
        <v>725</v>
      </c>
      <c r="D866" s="32"/>
      <c r="E866" s="35" t="s">
        <v>2239</v>
      </c>
    </row>
    <row r="867" spans="1:5" x14ac:dyDescent="0.2">
      <c r="A867" s="34" t="str">
        <f>HYPERLINK("http://www.daganm.co.il/sku/CXR005-5","CXR005-5")</f>
        <v>CXR005-5</v>
      </c>
      <c r="B867" t="s">
        <v>6</v>
      </c>
      <c r="C867" s="2" t="s">
        <v>726</v>
      </c>
      <c r="D867" s="32"/>
      <c r="E867" s="35" t="s">
        <v>2240</v>
      </c>
    </row>
    <row r="868" spans="1:5" x14ac:dyDescent="0.2">
      <c r="A868" s="34" t="str">
        <f>HYPERLINK("http://www.daganm.co.il/sku/CXR005-10","CXR005-10")</f>
        <v>CXR005-10</v>
      </c>
      <c r="B868" t="s">
        <v>6</v>
      </c>
      <c r="C868" s="2" t="s">
        <v>727</v>
      </c>
      <c r="D868" s="32"/>
      <c r="E868" s="35" t="s">
        <v>2241</v>
      </c>
    </row>
    <row r="869" spans="1:5" x14ac:dyDescent="0.2">
      <c r="A869" s="34" t="str">
        <f>HYPERLINK("http://www.daganm.co.il/sku/CXR005-15","CXR005-15")</f>
        <v>CXR005-15</v>
      </c>
      <c r="B869" t="s">
        <v>6</v>
      </c>
      <c r="C869" s="2" t="s">
        <v>728</v>
      </c>
      <c r="D869" s="36"/>
      <c r="E869" s="35" t="s">
        <v>2242</v>
      </c>
    </row>
    <row r="870" spans="1:5" x14ac:dyDescent="0.2">
      <c r="A870" s="34" t="str">
        <f>HYPERLINK("http://www.daganm.co.il/sku/CXR005-20","CXR005-20")</f>
        <v>CXR005-20</v>
      </c>
      <c r="B870" t="s">
        <v>6</v>
      </c>
      <c r="C870" s="2" t="s">
        <v>729</v>
      </c>
      <c r="D870" s="32"/>
      <c r="E870" s="35" t="s">
        <v>2243</v>
      </c>
    </row>
    <row r="871" spans="1:5" x14ac:dyDescent="0.2">
      <c r="A871" s="34" t="str">
        <f>HYPERLINK("http://www.daganm.co.il/sku/CXR005-33","CXR005-33")</f>
        <v>CXR005-33</v>
      </c>
      <c r="B871" t="s">
        <v>6</v>
      </c>
      <c r="C871" s="2" t="s">
        <v>730</v>
      </c>
      <c r="D871" s="32"/>
      <c r="E871" s="35" t="s">
        <v>2244</v>
      </c>
    </row>
    <row r="872" spans="1:5" x14ac:dyDescent="0.2">
      <c r="A872" s="34" t="str">
        <f>HYPERLINK("http://www.daganm.co.il/sku/CXR005-50","CXR005-50")</f>
        <v>CXR005-50</v>
      </c>
      <c r="B872" t="s">
        <v>6</v>
      </c>
      <c r="C872" s="2" t="s">
        <v>731</v>
      </c>
      <c r="D872" s="32"/>
      <c r="E872" s="35" t="s">
        <v>2245</v>
      </c>
    </row>
    <row r="873" spans="1:5" x14ac:dyDescent="0.2">
      <c r="A873" s="34" t="str">
        <f>HYPERLINK("http://www.daganm.co.il/sku/CXR005-66","CXR005-66")</f>
        <v>CXR005-66</v>
      </c>
      <c r="B873" t="s">
        <v>6</v>
      </c>
      <c r="C873" s="2" t="s">
        <v>732</v>
      </c>
      <c r="D873" s="32"/>
      <c r="E873" s="35" t="s">
        <v>2246</v>
      </c>
    </row>
    <row r="874" spans="1:5" x14ac:dyDescent="0.2">
      <c r="A874" s="34" t="str">
        <f>HYPERLINK("http://www.daganm.co.il/sku/CXR005-100","CXR005-100")</f>
        <v>CXR005-100</v>
      </c>
      <c r="B874" t="s">
        <v>6</v>
      </c>
      <c r="C874" s="2" t="s">
        <v>733</v>
      </c>
      <c r="D874" s="32">
        <v>45442</v>
      </c>
      <c r="E874" s="35" t="s">
        <v>2247</v>
      </c>
    </row>
    <row r="875" spans="1:5" x14ac:dyDescent="0.2">
      <c r="A875" s="34" t="str">
        <f>HYPERLINK("http://www.daganm.co.il/sku/HDCN-SDI15","HDCN-SDI15")</f>
        <v>HDCN-SDI15</v>
      </c>
      <c r="B875" t="s">
        <v>6</v>
      </c>
      <c r="C875" s="2" t="s">
        <v>3542</v>
      </c>
      <c r="D875" s="32"/>
      <c r="E875" s="35" t="s">
        <v>3436</v>
      </c>
    </row>
    <row r="876" spans="1:5" x14ac:dyDescent="0.2">
      <c r="A876" s="34" t="str">
        <f>HYPERLINK("http://www.daganm.co.il/sku/HDCN-SDI25","HDCN-SDI25")</f>
        <v>HDCN-SDI25</v>
      </c>
      <c r="B876" t="s">
        <v>6</v>
      </c>
      <c r="C876" s="2" t="s">
        <v>3543</v>
      </c>
      <c r="D876" s="32"/>
      <c r="E876" s="35" t="s">
        <v>3437</v>
      </c>
    </row>
    <row r="877" spans="1:5" x14ac:dyDescent="0.2">
      <c r="A877" s="34" t="str">
        <f>HYPERLINK("http://www.daganm.co.il/sku/SDI-SPLIT41","SDI-SPLIT41")</f>
        <v>SDI-SPLIT41</v>
      </c>
      <c r="B877" t="s">
        <v>6</v>
      </c>
      <c r="C877" s="2" t="s">
        <v>3544</v>
      </c>
      <c r="D877" s="32"/>
      <c r="E877" s="35" t="s">
        <v>2248</v>
      </c>
    </row>
    <row r="878" spans="1:5" ht="16.5" x14ac:dyDescent="0.25">
      <c r="B878"/>
      <c r="C878" s="31" t="s">
        <v>33</v>
      </c>
      <c r="D878" s="32"/>
      <c r="E878" s="35"/>
    </row>
    <row r="879" spans="1:5" x14ac:dyDescent="0.2">
      <c r="B879"/>
      <c r="C879" s="33" t="s">
        <v>37</v>
      </c>
      <c r="D879" s="32"/>
      <c r="E879" s="35"/>
    </row>
    <row r="880" spans="1:5" x14ac:dyDescent="0.2">
      <c r="A880" s="34" t="str">
        <f>HYPERLINK("http://www.daganm.co.il/sku/CABLE-5503LC-0.5","CABLE-5503LC-0.5")</f>
        <v>CABLE-5503LC-0.5</v>
      </c>
      <c r="B880" t="s">
        <v>6</v>
      </c>
      <c r="C880" s="2" t="s">
        <v>791</v>
      </c>
      <c r="D880" s="32"/>
      <c r="E880" s="35" t="s">
        <v>2314</v>
      </c>
    </row>
    <row r="881" spans="1:5" x14ac:dyDescent="0.2">
      <c r="A881" s="34" t="str">
        <f>HYPERLINK("http://www.daganm.co.il/sku/CABLE-5503LC-1","CABLE-5503LC-1")</f>
        <v>CABLE-5503LC-1</v>
      </c>
      <c r="B881" t="s">
        <v>6</v>
      </c>
      <c r="C881" s="2" t="s">
        <v>792</v>
      </c>
      <c r="D881" s="32"/>
      <c r="E881" s="35" t="s">
        <v>2315</v>
      </c>
    </row>
    <row r="882" spans="1:5" x14ac:dyDescent="0.2">
      <c r="A882" s="34" t="str">
        <f>HYPERLINK("http://www.daganm.co.il/sku/CABLE-5503LC-1.5","CABLE-5503LC-1.5")</f>
        <v>CABLE-5503LC-1.5</v>
      </c>
      <c r="B882" t="s">
        <v>6</v>
      </c>
      <c r="C882" s="2" t="s">
        <v>793</v>
      </c>
      <c r="D882" s="32"/>
      <c r="E882" s="35" t="s">
        <v>2316</v>
      </c>
    </row>
    <row r="883" spans="1:5" x14ac:dyDescent="0.2">
      <c r="A883" s="34" t="str">
        <f>HYPERLINK("http://www.daganm.co.il/sku/CABLE-5503LS-1.5","CABLE-5503LS-1.5")</f>
        <v>CABLE-5503LS-1.5</v>
      </c>
      <c r="B883" t="s">
        <v>6</v>
      </c>
      <c r="C883" s="2" t="s">
        <v>3545</v>
      </c>
      <c r="D883" s="32"/>
      <c r="E883" s="35" t="s">
        <v>3642</v>
      </c>
    </row>
    <row r="884" spans="1:5" x14ac:dyDescent="0.2">
      <c r="A884" s="34" t="str">
        <f>HYPERLINK("http://www.daganm.co.il/sku/CABLE-5503LC-2","CABLE-5503LC-2")</f>
        <v>CABLE-5503LC-2</v>
      </c>
      <c r="B884" t="s">
        <v>6</v>
      </c>
      <c r="C884" s="2" t="s">
        <v>794</v>
      </c>
      <c r="D884" s="32"/>
      <c r="E884" s="35" t="s">
        <v>2317</v>
      </c>
    </row>
    <row r="885" spans="1:5" x14ac:dyDescent="0.2">
      <c r="A885" s="34" t="str">
        <f>HYPERLINK("http://www.daganm.co.il/sku/CABLE-5503LC-3","CABLE-5503LC-3")</f>
        <v>CABLE-5503LC-3</v>
      </c>
      <c r="B885" t="s">
        <v>6</v>
      </c>
      <c r="C885" s="2" t="s">
        <v>795</v>
      </c>
      <c r="D885" s="32"/>
      <c r="E885" s="35" t="s">
        <v>2318</v>
      </c>
    </row>
    <row r="886" spans="1:5" x14ac:dyDescent="0.2">
      <c r="A886" s="34" t="str">
        <f>HYPERLINK("http://www.daganm.co.il/sku/CABLE-5503LC-5","CABLE-5503LC-5")</f>
        <v>CABLE-5503LC-5</v>
      </c>
      <c r="B886" t="s">
        <v>6</v>
      </c>
      <c r="C886" s="2" t="s">
        <v>796</v>
      </c>
      <c r="D886" s="32"/>
      <c r="E886" s="35" t="s">
        <v>2319</v>
      </c>
    </row>
    <row r="887" spans="1:5" x14ac:dyDescent="0.2">
      <c r="A887" s="34" t="str">
        <f>HYPERLINK("http://www.daganm.co.il/sku/CABLE-5503LC-7.5","CABLE-5503LC-7.5")</f>
        <v>CABLE-5503LC-7.5</v>
      </c>
      <c r="B887" t="s">
        <v>6</v>
      </c>
      <c r="C887" s="2" t="s">
        <v>797</v>
      </c>
      <c r="D887" s="32"/>
      <c r="E887" s="35" t="s">
        <v>2320</v>
      </c>
    </row>
    <row r="888" spans="1:5" x14ac:dyDescent="0.2">
      <c r="A888" s="34" t="str">
        <f>HYPERLINK("http://www.daganm.co.il/sku/CABLE-5503LC-10","CABLE-5503LC-10")</f>
        <v>CABLE-5503LC-10</v>
      </c>
      <c r="B888" t="s">
        <v>6</v>
      </c>
      <c r="C888" s="2" t="s">
        <v>798</v>
      </c>
      <c r="D888" s="32"/>
      <c r="E888" s="35" t="s">
        <v>2321</v>
      </c>
    </row>
    <row r="889" spans="1:5" x14ac:dyDescent="0.2">
      <c r="A889" s="34" t="str">
        <f>HYPERLINK("http://www.daganm.co.il/sku/CABLE-5503LC-15","CABLE-5503LC-15")</f>
        <v>CABLE-5503LC-15</v>
      </c>
      <c r="B889" t="s">
        <v>6</v>
      </c>
      <c r="C889" s="2" t="s">
        <v>799</v>
      </c>
      <c r="D889" s="32"/>
      <c r="E889" s="35" t="s">
        <v>2322</v>
      </c>
    </row>
    <row r="890" spans="1:5" x14ac:dyDescent="0.2">
      <c r="A890" s="34" t="str">
        <f>HYPERLINK("http://www.daganm.co.il/sku/CABLE-5503LC-20","CABLE-5503LC-20")</f>
        <v>CABLE-5503LC-20</v>
      </c>
      <c r="B890" t="s">
        <v>6</v>
      </c>
      <c r="C890" s="2" t="s">
        <v>800</v>
      </c>
      <c r="D890" s="32"/>
      <c r="E890" s="35" t="s">
        <v>2323</v>
      </c>
    </row>
    <row r="891" spans="1:5" x14ac:dyDescent="0.2">
      <c r="B891"/>
      <c r="C891" s="33" t="s">
        <v>3546</v>
      </c>
      <c r="D891" s="32"/>
      <c r="E891" s="35"/>
    </row>
    <row r="892" spans="1:5" x14ac:dyDescent="0.2">
      <c r="A892" s="34" t="str">
        <f>HYPERLINK("http://www.daganm.co.il/sku/CABLE-5503-0.25","CABLE-5503-0.25")</f>
        <v>CABLE-5503-0.25</v>
      </c>
      <c r="B892" t="s">
        <v>6</v>
      </c>
      <c r="C892" s="2" t="s">
        <v>734</v>
      </c>
      <c r="D892" s="32"/>
      <c r="E892" s="35" t="s">
        <v>2249</v>
      </c>
    </row>
    <row r="893" spans="1:5" x14ac:dyDescent="0.2">
      <c r="A893" s="34" t="str">
        <f>HYPERLINK("http://www.daganm.co.il/sku/CABLE-5503NB-0.5","CABLE-5503NB-0.5")</f>
        <v>CABLE-5503NB-0.5</v>
      </c>
      <c r="B893" t="s">
        <v>6</v>
      </c>
      <c r="C893" s="2" t="s">
        <v>3744</v>
      </c>
      <c r="D893" s="32"/>
      <c r="E893" s="35" t="s">
        <v>3993</v>
      </c>
    </row>
    <row r="894" spans="1:5" x14ac:dyDescent="0.2">
      <c r="A894" s="34" t="str">
        <f>HYPERLINK("http://www.daganm.co.il/sku/CABLE-5503-0.5","CABLE-5503-0.5")</f>
        <v>CABLE-5503-0.5</v>
      </c>
      <c r="B894" t="s">
        <v>6</v>
      </c>
      <c r="C894" s="2" t="s">
        <v>735</v>
      </c>
      <c r="D894" s="32"/>
      <c r="E894" s="35" t="s">
        <v>2250</v>
      </c>
    </row>
    <row r="895" spans="1:5" x14ac:dyDescent="0.2">
      <c r="A895" s="34" t="str">
        <f>HYPERLINK("http://www.daganm.co.il/sku/CABLE-5502-0.5","CABLE-5502-0.5")</f>
        <v>CABLE-5502-0.5</v>
      </c>
      <c r="B895" t="s">
        <v>6</v>
      </c>
      <c r="C895" s="2" t="s">
        <v>736</v>
      </c>
      <c r="D895" s="32"/>
      <c r="E895" s="35" t="s">
        <v>2251</v>
      </c>
    </row>
    <row r="896" spans="1:5" x14ac:dyDescent="0.2">
      <c r="A896" s="34" t="str">
        <f>HYPERLINK("http://www.daganm.co.il/sku/CABLE-5504-0.5","CABLE-5504-0.5")</f>
        <v>CABLE-5504-0.5</v>
      </c>
      <c r="B896" t="s">
        <v>6</v>
      </c>
      <c r="C896" s="2" t="s">
        <v>737</v>
      </c>
      <c r="D896" s="32"/>
      <c r="E896" s="35" t="s">
        <v>2252</v>
      </c>
    </row>
    <row r="897" spans="1:5" x14ac:dyDescent="0.2">
      <c r="A897" s="34" t="str">
        <f>HYPERLINK("http://www.daganm.co.il/sku/CABLE-5503NB-1","CABLE-5503NB-1")</f>
        <v>CABLE-5503NB-1</v>
      </c>
      <c r="B897" t="s">
        <v>6</v>
      </c>
      <c r="C897" s="2" t="s">
        <v>3307</v>
      </c>
      <c r="D897" s="32"/>
      <c r="E897" s="35" t="s">
        <v>3438</v>
      </c>
    </row>
    <row r="898" spans="1:5" x14ac:dyDescent="0.2">
      <c r="A898" s="34" t="str">
        <f>HYPERLINK("http://www.daganm.co.il/sku/CABLE-5503-1.0","CABLE-5503-1.0")</f>
        <v>CABLE-5503-1.0</v>
      </c>
      <c r="B898" t="s">
        <v>6</v>
      </c>
      <c r="C898" s="2" t="s">
        <v>738</v>
      </c>
      <c r="D898" s="32"/>
      <c r="E898" s="35" t="s">
        <v>2253</v>
      </c>
    </row>
    <row r="899" spans="1:5" x14ac:dyDescent="0.2">
      <c r="A899" s="34" t="str">
        <f>HYPERLINK("http://www.daganm.co.il/sku/CABLE-5502-1","CABLE-5502-1")</f>
        <v>CABLE-5502-1</v>
      </c>
      <c r="B899" t="s">
        <v>6</v>
      </c>
      <c r="C899" s="2" t="s">
        <v>739</v>
      </c>
      <c r="D899" s="32"/>
      <c r="E899" s="32" t="s">
        <v>2254</v>
      </c>
    </row>
    <row r="900" spans="1:5" x14ac:dyDescent="0.2">
      <c r="A900" s="34" t="str">
        <f>HYPERLINK("http://www.daganm.co.il/sku/CABLE-5504-1","CABLE-5504-1")</f>
        <v>CABLE-5504-1</v>
      </c>
      <c r="B900" t="s">
        <v>6</v>
      </c>
      <c r="C900" s="2" t="s">
        <v>740</v>
      </c>
      <c r="D900" s="36"/>
      <c r="E900" s="35" t="s">
        <v>2255</v>
      </c>
    </row>
    <row r="901" spans="1:5" x14ac:dyDescent="0.2">
      <c r="A901" s="34" t="str">
        <f>HYPERLINK("http://www.daganm.co.il/sku/CABLE-5503NB-1.5","CABLE-5503NB-1.5")</f>
        <v>CABLE-5503NB-1.5</v>
      </c>
      <c r="B901" t="s">
        <v>6</v>
      </c>
      <c r="C901" s="2" t="s">
        <v>3745</v>
      </c>
      <c r="D901" s="32"/>
      <c r="E901" s="35" t="s">
        <v>3994</v>
      </c>
    </row>
    <row r="902" spans="1:5" x14ac:dyDescent="0.2">
      <c r="A902" s="34" t="str">
        <f>HYPERLINK("http://www.daganm.co.il/sku/CABLE-5503-1.5","CABLE-5503-1.5")</f>
        <v>CABLE-5503-1.5</v>
      </c>
      <c r="B902" t="s">
        <v>6</v>
      </c>
      <c r="C902" s="2" t="s">
        <v>741</v>
      </c>
      <c r="D902" s="32"/>
      <c r="E902" s="35" t="s">
        <v>2256</v>
      </c>
    </row>
    <row r="903" spans="1:5" x14ac:dyDescent="0.2">
      <c r="A903" s="34" t="str">
        <f>HYPERLINK("http://www.daganm.co.il/sku/CABLE-5502-1.5","CABLE-5502-1.5")</f>
        <v>CABLE-5502-1.5</v>
      </c>
      <c r="B903" t="s">
        <v>6</v>
      </c>
      <c r="C903" s="2" t="s">
        <v>742</v>
      </c>
      <c r="D903" s="32"/>
      <c r="E903" s="35" t="s">
        <v>2257</v>
      </c>
    </row>
    <row r="904" spans="1:5" x14ac:dyDescent="0.2">
      <c r="A904" s="34" t="str">
        <f>HYPERLINK("http://www.daganm.co.il/sku/CABLE-5504-1.5","CABLE-5504-1.5")</f>
        <v>CABLE-5504-1.5</v>
      </c>
      <c r="B904" t="s">
        <v>6</v>
      </c>
      <c r="C904" s="2" t="s">
        <v>743</v>
      </c>
      <c r="D904" s="32"/>
      <c r="E904" s="35" t="s">
        <v>2258</v>
      </c>
    </row>
    <row r="905" spans="1:5" x14ac:dyDescent="0.2">
      <c r="A905" s="34" t="str">
        <f>HYPERLINK("http://www.daganm.co.il/sku/CABLE-5503NB-2","CABLE-5503NB-2")</f>
        <v>CABLE-5503NB-2</v>
      </c>
      <c r="B905" t="s">
        <v>6</v>
      </c>
      <c r="C905" s="2" t="s">
        <v>744</v>
      </c>
      <c r="D905" s="32"/>
      <c r="E905" s="35" t="s">
        <v>2259</v>
      </c>
    </row>
    <row r="906" spans="1:5" x14ac:dyDescent="0.2">
      <c r="A906" s="34" t="str">
        <f>HYPERLINK("http://www.daganm.co.il/sku/CABLE-5503-2.0","CABLE-5503-2.0")</f>
        <v>CABLE-5503-2.0</v>
      </c>
      <c r="B906" t="s">
        <v>6</v>
      </c>
      <c r="C906" s="2" t="s">
        <v>746</v>
      </c>
      <c r="D906" s="32"/>
      <c r="E906" s="35" t="s">
        <v>2261</v>
      </c>
    </row>
    <row r="907" spans="1:5" x14ac:dyDescent="0.2">
      <c r="A907" s="34" t="str">
        <f>HYPERLINK("http://www.daganm.co.il/sku/CABLE-5502-2","CABLE-5502-2")</f>
        <v>CABLE-5502-2</v>
      </c>
      <c r="B907" t="s">
        <v>6</v>
      </c>
      <c r="C907" s="2" t="s">
        <v>747</v>
      </c>
      <c r="D907" s="32"/>
      <c r="E907" s="35" t="s">
        <v>2262</v>
      </c>
    </row>
    <row r="908" spans="1:5" x14ac:dyDescent="0.2">
      <c r="A908" s="34" t="str">
        <f>HYPERLINK("http://www.daganm.co.il/sku/CABLE-5504-2","CABLE-5504-2")</f>
        <v>CABLE-5504-2</v>
      </c>
      <c r="B908" t="s">
        <v>6</v>
      </c>
      <c r="C908" s="2" t="s">
        <v>748</v>
      </c>
      <c r="D908" s="32"/>
      <c r="E908" s="35" t="s">
        <v>2263</v>
      </c>
    </row>
    <row r="909" spans="1:5" x14ac:dyDescent="0.2">
      <c r="A909" s="34" t="str">
        <f>HYPERLINK("http://www.daganm.co.il/sku/CABLE-5503NB-3","CABLE-5503NB-3")</f>
        <v>CABLE-5503NB-3</v>
      </c>
      <c r="B909" t="s">
        <v>6</v>
      </c>
      <c r="C909" s="2" t="s">
        <v>745</v>
      </c>
      <c r="D909" s="32"/>
      <c r="E909" s="35" t="s">
        <v>2260</v>
      </c>
    </row>
    <row r="910" spans="1:5" x14ac:dyDescent="0.2">
      <c r="A910" s="34" t="str">
        <f>HYPERLINK("http://www.daganm.co.il/sku/CABLE-5503-3.0","CABLE-5503-3.0")</f>
        <v>CABLE-5503-3.0</v>
      </c>
      <c r="B910" t="s">
        <v>6</v>
      </c>
      <c r="C910" s="2" t="s">
        <v>749</v>
      </c>
      <c r="D910" s="32"/>
      <c r="E910" s="35" t="s">
        <v>2264</v>
      </c>
    </row>
    <row r="911" spans="1:5" x14ac:dyDescent="0.2">
      <c r="A911" s="34" t="str">
        <f>HYPERLINK("http://www.daganm.co.il/sku/CABLE-5502-3","CABLE-5502-3")</f>
        <v>CABLE-5502-3</v>
      </c>
      <c r="B911" t="s">
        <v>6</v>
      </c>
      <c r="C911" s="2" t="s">
        <v>750</v>
      </c>
      <c r="D911" s="32"/>
      <c r="E911" s="35" t="s">
        <v>2265</v>
      </c>
    </row>
    <row r="912" spans="1:5" x14ac:dyDescent="0.2">
      <c r="A912" s="34" t="str">
        <f>HYPERLINK("http://www.daganm.co.il/sku/CABLE-5504-3","CABLE-5504-3")</f>
        <v>CABLE-5504-3</v>
      </c>
      <c r="B912" t="s">
        <v>6</v>
      </c>
      <c r="C912" s="2" t="s">
        <v>751</v>
      </c>
      <c r="D912" s="32"/>
      <c r="E912" s="35" t="s">
        <v>2266</v>
      </c>
    </row>
    <row r="913" spans="1:5" x14ac:dyDescent="0.2">
      <c r="A913" s="34" t="str">
        <f>HYPERLINK("http://www.daganm.co.il/sku/CABLE-5503NB-5","CABLE-5503NB-5")</f>
        <v>CABLE-5503NB-5</v>
      </c>
      <c r="B913" t="s">
        <v>6</v>
      </c>
      <c r="C913" s="2" t="s">
        <v>3547</v>
      </c>
      <c r="D913" s="32"/>
      <c r="E913" s="35" t="s">
        <v>3643</v>
      </c>
    </row>
    <row r="914" spans="1:5" x14ac:dyDescent="0.2">
      <c r="A914" s="34" t="str">
        <f>HYPERLINK("http://www.daganm.co.il/sku/CABLE-5503-5.0","CABLE-5503-5.0")</f>
        <v>CABLE-5503-5.0</v>
      </c>
      <c r="B914" t="s">
        <v>6</v>
      </c>
      <c r="C914" s="2" t="s">
        <v>3308</v>
      </c>
      <c r="D914" s="32"/>
      <c r="E914" s="35" t="s">
        <v>2267</v>
      </c>
    </row>
    <row r="915" spans="1:5" x14ac:dyDescent="0.2">
      <c r="A915" s="34" t="str">
        <f>HYPERLINK("http://www.daganm.co.il/sku/CABLE-5502-5","CABLE-5502-5")</f>
        <v>CABLE-5502-5</v>
      </c>
      <c r="B915" t="s">
        <v>6</v>
      </c>
      <c r="C915" s="2" t="s">
        <v>752</v>
      </c>
      <c r="D915" s="32"/>
      <c r="E915" s="32" t="s">
        <v>2268</v>
      </c>
    </row>
    <row r="916" spans="1:5" x14ac:dyDescent="0.2">
      <c r="A916" s="34" t="str">
        <f>HYPERLINK("http://www.daganm.co.il/sku/CABLE-5504-5","CABLE-5504-5")</f>
        <v>CABLE-5504-5</v>
      </c>
      <c r="B916" t="s">
        <v>6</v>
      </c>
      <c r="C916" s="2" t="s">
        <v>753</v>
      </c>
      <c r="D916" s="32"/>
      <c r="E916" s="35" t="s">
        <v>2269</v>
      </c>
    </row>
    <row r="917" spans="1:5" x14ac:dyDescent="0.2">
      <c r="A917" s="34" t="str">
        <f>HYPERLINK("http://www.daganm.co.il/sku/CABLE-5503-7.5","CABLE-5503-7.5")</f>
        <v>CABLE-5503-7.5</v>
      </c>
      <c r="B917" t="s">
        <v>6</v>
      </c>
      <c r="C917" s="2" t="s">
        <v>3309</v>
      </c>
      <c r="D917" s="32"/>
      <c r="E917" s="35" t="s">
        <v>2270</v>
      </c>
    </row>
    <row r="918" spans="1:5" x14ac:dyDescent="0.2">
      <c r="A918" s="34" t="str">
        <f>HYPERLINK("http://www.daganm.co.il/sku/CABLE-5503NB-7.5","CABLE-5503NB-7.5")</f>
        <v>CABLE-5503NB-7.5</v>
      </c>
      <c r="B918" t="s">
        <v>6</v>
      </c>
      <c r="C918" s="2" t="s">
        <v>3746</v>
      </c>
      <c r="D918" s="32"/>
      <c r="E918" s="35" t="s">
        <v>3995</v>
      </c>
    </row>
    <row r="919" spans="1:5" x14ac:dyDescent="0.2">
      <c r="A919" s="34" t="str">
        <f>HYPERLINK("http://www.daganm.co.il/sku/CABLE-5502-7.5","CABLE-5502-7.5")</f>
        <v>CABLE-5502-7.5</v>
      </c>
      <c r="B919" t="s">
        <v>6</v>
      </c>
      <c r="C919" s="2" t="s">
        <v>754</v>
      </c>
      <c r="D919" s="32"/>
      <c r="E919" s="35" t="s">
        <v>2271</v>
      </c>
    </row>
    <row r="920" spans="1:5" x14ac:dyDescent="0.2">
      <c r="A920" s="34" t="str">
        <f>HYPERLINK("http://www.daganm.co.il/sku/CABLE-5504-7.5","CABLE-5504-7.5")</f>
        <v>CABLE-5504-7.5</v>
      </c>
      <c r="B920" t="s">
        <v>6</v>
      </c>
      <c r="C920" s="2" t="s">
        <v>755</v>
      </c>
      <c r="D920" s="32"/>
      <c r="E920" s="35" t="s">
        <v>2272</v>
      </c>
    </row>
    <row r="921" spans="1:5" x14ac:dyDescent="0.2">
      <c r="A921" s="34" t="str">
        <f>HYPERLINK("http://www.daganm.co.il/sku/CABLE-5503L-10","CABLE-5503L-10")</f>
        <v>CABLE-5503L-10</v>
      </c>
      <c r="B921" t="s">
        <v>6</v>
      </c>
      <c r="C921" s="2" t="s">
        <v>3310</v>
      </c>
      <c r="D921" s="32"/>
      <c r="E921" s="35" t="s">
        <v>2273</v>
      </c>
    </row>
    <row r="922" spans="1:5" x14ac:dyDescent="0.2">
      <c r="A922" s="34" t="str">
        <f>HYPERLINK("http://www.daganm.co.il/sku/CABLE-5503-10","CABLE-5503-10")</f>
        <v>CABLE-5503-10</v>
      </c>
      <c r="B922" t="s">
        <v>6</v>
      </c>
      <c r="C922" s="2" t="s">
        <v>3311</v>
      </c>
      <c r="D922" s="32"/>
      <c r="E922" s="35" t="s">
        <v>2274</v>
      </c>
    </row>
    <row r="923" spans="1:5" x14ac:dyDescent="0.2">
      <c r="A923" s="34" t="str">
        <f>HYPERLINK("http://www.daganm.co.il/sku/CABLE-5503NB-10","CABLE-5503NB-10")</f>
        <v>CABLE-5503NB-10</v>
      </c>
      <c r="B923" t="s">
        <v>6</v>
      </c>
      <c r="C923" s="2" t="s">
        <v>3747</v>
      </c>
      <c r="D923" s="32"/>
      <c r="E923" s="35" t="s">
        <v>3996</v>
      </c>
    </row>
    <row r="924" spans="1:5" x14ac:dyDescent="0.2">
      <c r="A924" s="34" t="str">
        <f>HYPERLINK("http://www.daganm.co.il/sku/CABLE-5502-10","CABLE-5502-10")</f>
        <v>CABLE-5502-10</v>
      </c>
      <c r="B924" t="s">
        <v>6</v>
      </c>
      <c r="C924" s="2" t="s">
        <v>756</v>
      </c>
      <c r="D924" s="32"/>
      <c r="E924" s="35" t="s">
        <v>2275</v>
      </c>
    </row>
    <row r="925" spans="1:5" x14ac:dyDescent="0.2">
      <c r="A925" s="34" t="str">
        <f>HYPERLINK("http://www.daganm.co.il/sku/CABLE-5504-10","CABLE-5504-10")</f>
        <v>CABLE-5504-10</v>
      </c>
      <c r="B925" t="s">
        <v>6</v>
      </c>
      <c r="C925" s="2" t="s">
        <v>757</v>
      </c>
      <c r="D925" s="32"/>
      <c r="E925" s="35" t="s">
        <v>2276</v>
      </c>
    </row>
    <row r="926" spans="1:5" x14ac:dyDescent="0.2">
      <c r="A926" s="34" t="str">
        <f>HYPERLINK("http://www.daganm.co.il/sku/CABLE-5503-12","CABLE-5503-12")</f>
        <v>CABLE-5503-12</v>
      </c>
      <c r="B926" t="s">
        <v>6</v>
      </c>
      <c r="C926" s="2" t="s">
        <v>3312</v>
      </c>
      <c r="D926" s="32"/>
      <c r="E926" s="35" t="s">
        <v>2277</v>
      </c>
    </row>
    <row r="927" spans="1:5" x14ac:dyDescent="0.2">
      <c r="A927" s="34" t="str">
        <f>HYPERLINK("http://www.daganm.co.il/sku/CABLE-5502-12","CABLE-5502-12")</f>
        <v>CABLE-5502-12</v>
      </c>
      <c r="B927" t="s">
        <v>6</v>
      </c>
      <c r="C927" s="2" t="s">
        <v>758</v>
      </c>
      <c r="D927" s="32"/>
      <c r="E927" s="35" t="s">
        <v>2278</v>
      </c>
    </row>
    <row r="928" spans="1:5" x14ac:dyDescent="0.2">
      <c r="A928" s="34" t="str">
        <f>HYPERLINK("http://www.daganm.co.il/sku/CABLE-5503-15","CABLE-5503-15")</f>
        <v>CABLE-5503-15</v>
      </c>
      <c r="B928" t="s">
        <v>6</v>
      </c>
      <c r="C928" s="2" t="s">
        <v>3313</v>
      </c>
      <c r="D928" s="32"/>
      <c r="E928" s="35" t="s">
        <v>2279</v>
      </c>
    </row>
    <row r="929" spans="1:5" x14ac:dyDescent="0.2">
      <c r="A929" s="34" t="str">
        <f>HYPERLINK("http://www.daganm.co.il/sku/CABLE-5502-15","CABLE-5502-15")</f>
        <v>CABLE-5502-15</v>
      </c>
      <c r="B929" t="s">
        <v>6</v>
      </c>
      <c r="C929" s="2" t="s">
        <v>759</v>
      </c>
      <c r="D929" s="32"/>
      <c r="E929" s="35" t="s">
        <v>2280</v>
      </c>
    </row>
    <row r="930" spans="1:5" x14ac:dyDescent="0.2">
      <c r="A930" s="34" t="str">
        <f>HYPERLINK("http://www.daganm.co.il/sku/CABLE-5502-20","CABLE-5502-20")</f>
        <v>CABLE-5502-20</v>
      </c>
      <c r="B930" t="s">
        <v>6</v>
      </c>
      <c r="C930" s="2" t="s">
        <v>760</v>
      </c>
      <c r="D930" s="32"/>
      <c r="E930" s="35" t="s">
        <v>2281</v>
      </c>
    </row>
    <row r="931" spans="1:5" x14ac:dyDescent="0.2">
      <c r="B931"/>
      <c r="C931" s="33" t="s">
        <v>34</v>
      </c>
      <c r="D931" s="32"/>
      <c r="E931" s="35"/>
    </row>
    <row r="932" spans="1:5" x14ac:dyDescent="0.2">
      <c r="A932" s="34" t="str">
        <f>HYPERLINK("http://www.daganm.co.il/sku/CBL5521-0.5","CBL5521-0.5")</f>
        <v>CBL5521-0.5</v>
      </c>
      <c r="B932" t="s">
        <v>6</v>
      </c>
      <c r="C932" s="2" t="s">
        <v>761</v>
      </c>
      <c r="D932" s="32"/>
      <c r="E932" s="32" t="s">
        <v>2282</v>
      </c>
    </row>
    <row r="933" spans="1:5" x14ac:dyDescent="0.2">
      <c r="A933" s="34" t="str">
        <f>HYPERLINK("http://www.daganm.co.il/sku/CBL5521-1","CBL5521-1")</f>
        <v>CBL5521-1</v>
      </c>
      <c r="B933" t="s">
        <v>6</v>
      </c>
      <c r="C933" s="2" t="s">
        <v>762</v>
      </c>
      <c r="D933" s="32"/>
      <c r="E933" s="35" t="s">
        <v>2283</v>
      </c>
    </row>
    <row r="934" spans="1:5" x14ac:dyDescent="0.2">
      <c r="A934" s="34" t="str">
        <f>HYPERLINK("http://www.daganm.co.il/sku/CBL5521-2","CBL5521-2")</f>
        <v>CBL5521-2</v>
      </c>
      <c r="B934" t="s">
        <v>6</v>
      </c>
      <c r="C934" s="2" t="s">
        <v>763</v>
      </c>
      <c r="D934" s="32"/>
      <c r="E934" s="35" t="s">
        <v>2284</v>
      </c>
    </row>
    <row r="935" spans="1:5" x14ac:dyDescent="0.2">
      <c r="A935" s="34" t="str">
        <f>HYPERLINK("http://www.daganm.co.il/sku/CBL5521-3","CBL5521-3")</f>
        <v>CBL5521-3</v>
      </c>
      <c r="B935" t="s">
        <v>6</v>
      </c>
      <c r="C935" s="2" t="s">
        <v>764</v>
      </c>
      <c r="D935" s="32"/>
      <c r="E935" s="35" t="s">
        <v>2285</v>
      </c>
    </row>
    <row r="936" spans="1:5" x14ac:dyDescent="0.2">
      <c r="A936" s="34" t="str">
        <f>HYPERLINK("http://www.daganm.co.il/sku/CBL5521-5","CBL5521-5")</f>
        <v>CBL5521-5</v>
      </c>
      <c r="B936" t="s">
        <v>6</v>
      </c>
      <c r="C936" s="2" t="s">
        <v>3748</v>
      </c>
      <c r="D936" s="32"/>
      <c r="E936" s="35" t="s">
        <v>3997</v>
      </c>
    </row>
    <row r="937" spans="1:5" x14ac:dyDescent="0.2">
      <c r="A937" s="34" t="str">
        <f>HYPERLINK("http://www.daganm.co.il/sku/CBL5521-7.5","CBL5521-7.5")</f>
        <v>CBL5521-7.5</v>
      </c>
      <c r="B937" t="s">
        <v>6</v>
      </c>
      <c r="C937" s="2" t="s">
        <v>3749</v>
      </c>
      <c r="D937" s="32"/>
      <c r="E937" s="35" t="s">
        <v>3998</v>
      </c>
    </row>
    <row r="938" spans="1:5" x14ac:dyDescent="0.2">
      <c r="A938" s="34" t="str">
        <f>HYPERLINK("http://www.daganm.co.il/sku/CBL5521-10","CBL5521-10")</f>
        <v>CBL5521-10</v>
      </c>
      <c r="B938" t="s">
        <v>6</v>
      </c>
      <c r="C938" s="2" t="s">
        <v>3750</v>
      </c>
      <c r="D938" s="32"/>
      <c r="E938" s="35" t="s">
        <v>3999</v>
      </c>
    </row>
    <row r="939" spans="1:5" x14ac:dyDescent="0.2">
      <c r="A939" s="34" t="str">
        <f>HYPERLINK("http://www.daganm.co.il/sku/CBL5522-0.5","CBL5522-0.5")</f>
        <v>CBL5522-0.5</v>
      </c>
      <c r="B939" t="s">
        <v>6</v>
      </c>
      <c r="C939" s="2" t="s">
        <v>765</v>
      </c>
      <c r="D939" s="32"/>
      <c r="E939" s="35" t="s">
        <v>2286</v>
      </c>
    </row>
    <row r="940" spans="1:5" x14ac:dyDescent="0.2">
      <c r="A940" s="34" t="str">
        <f>HYPERLINK("http://www.daganm.co.il/sku/CBL5522-1","CBL5522-1")</f>
        <v>CBL5522-1</v>
      </c>
      <c r="B940" t="s">
        <v>6</v>
      </c>
      <c r="C940" s="2" t="s">
        <v>766</v>
      </c>
      <c r="D940" s="32"/>
      <c r="E940" s="35" t="s">
        <v>2287</v>
      </c>
    </row>
    <row r="941" spans="1:5" x14ac:dyDescent="0.2">
      <c r="A941" s="34" t="str">
        <f>HYPERLINK("http://www.daganm.co.il/sku/CBL5522-1.5","CBL5522-1.5")</f>
        <v>CBL5522-1.5</v>
      </c>
      <c r="B941" t="s">
        <v>6</v>
      </c>
      <c r="C941" s="2" t="s">
        <v>767</v>
      </c>
      <c r="D941" s="32"/>
      <c r="E941" s="35" t="s">
        <v>2288</v>
      </c>
    </row>
    <row r="942" spans="1:5" x14ac:dyDescent="0.2">
      <c r="A942" s="34" t="str">
        <f>HYPERLINK("http://www.daganm.co.il/sku/CBL5522-2","CBL5522-2")</f>
        <v>CBL5522-2</v>
      </c>
      <c r="B942" t="s">
        <v>6</v>
      </c>
      <c r="C942" s="2" t="s">
        <v>768</v>
      </c>
      <c r="D942" s="32"/>
      <c r="E942" s="32" t="s">
        <v>2289</v>
      </c>
    </row>
    <row r="943" spans="1:5" x14ac:dyDescent="0.2">
      <c r="A943" s="34" t="str">
        <f>HYPERLINK("http://www.daganm.co.il/sku/CBL5522-3","CBL5522-3")</f>
        <v>CBL5522-3</v>
      </c>
      <c r="B943" t="s">
        <v>6</v>
      </c>
      <c r="C943" s="2" t="s">
        <v>769</v>
      </c>
      <c r="D943" s="32"/>
      <c r="E943" s="35" t="s">
        <v>2290</v>
      </c>
    </row>
    <row r="944" spans="1:5" x14ac:dyDescent="0.2">
      <c r="A944" s="34" t="str">
        <f>HYPERLINK("http://www.daganm.co.il/sku/CBL5522-5","CBL5522-5")</f>
        <v>CBL5522-5</v>
      </c>
      <c r="B944" t="s">
        <v>6</v>
      </c>
      <c r="C944" s="2" t="s">
        <v>3314</v>
      </c>
      <c r="D944" s="32"/>
      <c r="E944" s="35" t="s">
        <v>3439</v>
      </c>
    </row>
    <row r="945" spans="1:5" x14ac:dyDescent="0.2">
      <c r="A945" s="34" t="str">
        <f>HYPERLINK("http://www.daganm.co.il/sku/CBL5522-7.5","CBL5522-7.5")</f>
        <v>CBL5522-7.5</v>
      </c>
      <c r="B945" t="s">
        <v>6</v>
      </c>
      <c r="C945" s="2" t="s">
        <v>3751</v>
      </c>
      <c r="D945" s="32"/>
      <c r="E945" s="35" t="s">
        <v>4000</v>
      </c>
    </row>
    <row r="946" spans="1:5" x14ac:dyDescent="0.2">
      <c r="A946" s="34" t="str">
        <f>HYPERLINK("http://www.daganm.co.il/sku/CBL5522-10","CBL5522-10")</f>
        <v>CBL5522-10</v>
      </c>
      <c r="B946" t="s">
        <v>6</v>
      </c>
      <c r="C946" s="2" t="s">
        <v>3752</v>
      </c>
      <c r="D946" s="32"/>
      <c r="E946" s="35" t="s">
        <v>4001</v>
      </c>
    </row>
    <row r="947" spans="1:5" x14ac:dyDescent="0.2">
      <c r="B947"/>
      <c r="C947" s="33" t="s">
        <v>35</v>
      </c>
      <c r="D947" s="32"/>
      <c r="E947" s="35"/>
    </row>
    <row r="948" spans="1:5" x14ac:dyDescent="0.2">
      <c r="A948" s="34" t="str">
        <f>HYPERLINK("http://www.daganm.co.il/sku/CABLE-5512-0.5","CABLE-5512-0.5")</f>
        <v>CABLE-5512-0.5</v>
      </c>
      <c r="B948" t="s">
        <v>6</v>
      </c>
      <c r="C948" s="2" t="s">
        <v>770</v>
      </c>
      <c r="D948" s="32"/>
      <c r="E948" s="32" t="s">
        <v>2291</v>
      </c>
    </row>
    <row r="949" spans="1:5" x14ac:dyDescent="0.2">
      <c r="A949" s="34" t="str">
        <f>HYPERLINK("http://www.daganm.co.il/sku/CABLE-5511-1","CABLE-5511-1")</f>
        <v>CABLE-5511-1</v>
      </c>
      <c r="B949" t="s">
        <v>6</v>
      </c>
      <c r="C949" s="2" t="s">
        <v>771</v>
      </c>
      <c r="D949" s="32"/>
      <c r="E949" s="35" t="s">
        <v>2292</v>
      </c>
    </row>
    <row r="950" spans="1:5" x14ac:dyDescent="0.2">
      <c r="A950" s="34" t="str">
        <f>HYPERLINK("http://www.daganm.co.il/sku/CABLE-5512-1","CABLE-5512-1")</f>
        <v>CABLE-5512-1</v>
      </c>
      <c r="B950" t="s">
        <v>6</v>
      </c>
      <c r="C950" s="2" t="s">
        <v>772</v>
      </c>
      <c r="D950" s="32"/>
      <c r="E950" s="35" t="s">
        <v>2293</v>
      </c>
    </row>
    <row r="951" spans="1:5" x14ac:dyDescent="0.2">
      <c r="A951" s="34" t="str">
        <f>HYPERLINK("http://www.daganm.co.il/sku/CABLE-5512-1.5","CABLE-5512-1.5")</f>
        <v>CABLE-5512-1.5</v>
      </c>
      <c r="B951" t="s">
        <v>6</v>
      </c>
      <c r="C951" s="2" t="s">
        <v>773</v>
      </c>
      <c r="D951" s="32"/>
      <c r="E951" s="35" t="s">
        <v>2294</v>
      </c>
    </row>
    <row r="952" spans="1:5" x14ac:dyDescent="0.2">
      <c r="A952" s="34" t="str">
        <f>HYPERLINK("http://www.daganm.co.il/sku/CABLE-5512-2","CABLE-5512-2")</f>
        <v>CABLE-5512-2</v>
      </c>
      <c r="B952" t="s">
        <v>6</v>
      </c>
      <c r="C952" s="2" t="s">
        <v>774</v>
      </c>
      <c r="D952" s="32"/>
      <c r="E952" s="35" t="s">
        <v>2295</v>
      </c>
    </row>
    <row r="953" spans="1:5" x14ac:dyDescent="0.2">
      <c r="A953" s="34" t="str">
        <f>HYPERLINK("http://www.daganm.co.il/sku/CABLE-5512-3","CABLE-5512-3")</f>
        <v>CABLE-5512-3</v>
      </c>
      <c r="B953" t="s">
        <v>6</v>
      </c>
      <c r="C953" s="2" t="s">
        <v>775</v>
      </c>
      <c r="D953" s="36"/>
      <c r="E953" s="35" t="s">
        <v>2296</v>
      </c>
    </row>
    <row r="954" spans="1:5" x14ac:dyDescent="0.2">
      <c r="A954" s="34" t="str">
        <f>HYPERLINK("http://www.daganm.co.il/sku/CABLE-5511-5","CABLE-5511-5")</f>
        <v>CABLE-5511-5</v>
      </c>
      <c r="B954" t="s">
        <v>6</v>
      </c>
      <c r="C954" s="2" t="s">
        <v>776</v>
      </c>
      <c r="D954" s="32"/>
      <c r="E954" s="35" t="s">
        <v>2297</v>
      </c>
    </row>
    <row r="955" spans="1:5" x14ac:dyDescent="0.2">
      <c r="A955" s="34" t="str">
        <f>HYPERLINK("http://www.daganm.co.il/sku/CABLE-5512-5","CABLE-5512-5")</f>
        <v>CABLE-5512-5</v>
      </c>
      <c r="B955" t="s">
        <v>6</v>
      </c>
      <c r="C955" s="2" t="s">
        <v>777</v>
      </c>
      <c r="D955" s="32"/>
      <c r="E955" s="32" t="s">
        <v>2298</v>
      </c>
    </row>
    <row r="956" spans="1:5" x14ac:dyDescent="0.2">
      <c r="A956" s="34" t="str">
        <f>HYPERLINK("http://www.daganm.co.il/sku/CABLE-5511-7.5","CABLE-5511-7.5")</f>
        <v>CABLE-5511-7.5</v>
      </c>
      <c r="B956" t="s">
        <v>6</v>
      </c>
      <c r="C956" s="2" t="s">
        <v>3315</v>
      </c>
      <c r="D956" s="32"/>
      <c r="E956" s="35" t="s">
        <v>2299</v>
      </c>
    </row>
    <row r="957" spans="1:5" x14ac:dyDescent="0.2">
      <c r="A957" s="34" t="str">
        <f>HYPERLINK("http://www.daganm.co.il/sku/CABLE-5512-7.5","CABLE-5512-7.5")</f>
        <v>CABLE-5512-7.5</v>
      </c>
      <c r="B957" t="s">
        <v>6</v>
      </c>
      <c r="C957" s="2" t="s">
        <v>778</v>
      </c>
      <c r="D957" s="32"/>
      <c r="E957" s="35" t="s">
        <v>2300</v>
      </c>
    </row>
    <row r="958" spans="1:5" x14ac:dyDescent="0.2">
      <c r="A958" s="34" t="str">
        <f>HYPERLINK("http://www.daganm.co.il/sku/CABLE-5511-10","CABLE-5511-10")</f>
        <v>CABLE-5511-10</v>
      </c>
      <c r="B958" t="s">
        <v>6</v>
      </c>
      <c r="C958" s="2" t="s">
        <v>779</v>
      </c>
      <c r="D958" s="32"/>
      <c r="E958" s="35" t="s">
        <v>2301</v>
      </c>
    </row>
    <row r="959" spans="1:5" x14ac:dyDescent="0.2">
      <c r="A959" s="34" t="str">
        <f>HYPERLINK("http://www.daganm.co.il/sku/CABLE-5512-10","CABLE-5512-10")</f>
        <v>CABLE-5512-10</v>
      </c>
      <c r="B959" t="s">
        <v>6</v>
      </c>
      <c r="C959" s="2" t="s">
        <v>780</v>
      </c>
      <c r="D959" s="32"/>
      <c r="E959" s="35" t="s">
        <v>2302</v>
      </c>
    </row>
    <row r="960" spans="1:5" x14ac:dyDescent="0.2">
      <c r="A960" s="34" t="str">
        <f>HYPERLINK("http://www.daganm.co.il/sku/CABLE-5511-12","CABLE-5511-12")</f>
        <v>CABLE-5511-12</v>
      </c>
      <c r="B960" t="s">
        <v>6</v>
      </c>
      <c r="C960" s="2" t="s">
        <v>3316</v>
      </c>
      <c r="D960" s="32"/>
      <c r="E960" s="32" t="s">
        <v>2303</v>
      </c>
    </row>
    <row r="961" spans="1:5" x14ac:dyDescent="0.2">
      <c r="A961" s="34" t="str">
        <f>HYPERLINK("http://www.daganm.co.il/sku/CABLE-5512-12","CABLE-5512-12")</f>
        <v>CABLE-5512-12</v>
      </c>
      <c r="B961" t="s">
        <v>6</v>
      </c>
      <c r="C961" s="2" t="s">
        <v>781</v>
      </c>
      <c r="D961" s="32"/>
      <c r="E961" s="35" t="s">
        <v>2304</v>
      </c>
    </row>
    <row r="962" spans="1:5" x14ac:dyDescent="0.2">
      <c r="A962" s="34" t="str">
        <f>HYPERLINK("http://www.daganm.co.il/sku/CABLE-5512-15","CABLE-5512-15")</f>
        <v>CABLE-5512-15</v>
      </c>
      <c r="B962" t="s">
        <v>6</v>
      </c>
      <c r="C962" s="2" t="s">
        <v>782</v>
      </c>
      <c r="D962" s="32"/>
      <c r="E962" s="35" t="s">
        <v>2305</v>
      </c>
    </row>
    <row r="963" spans="1:5" x14ac:dyDescent="0.2">
      <c r="A963" s="34" t="str">
        <f>HYPERLINK("http://www.daganm.co.il/sku/CABLE-5512-20","CABLE-5512-20")</f>
        <v>CABLE-5512-20</v>
      </c>
      <c r="B963" t="s">
        <v>6</v>
      </c>
      <c r="C963" s="2" t="s">
        <v>783</v>
      </c>
      <c r="D963" s="32"/>
      <c r="E963" s="35" t="s">
        <v>2306</v>
      </c>
    </row>
    <row r="964" spans="1:5" x14ac:dyDescent="0.2">
      <c r="B964"/>
      <c r="C964" s="33" t="s">
        <v>36</v>
      </c>
      <c r="D964" s="32"/>
      <c r="E964" s="35"/>
    </row>
    <row r="965" spans="1:5" x14ac:dyDescent="0.2">
      <c r="A965" s="34" t="str">
        <f>HYPERLINK("http://www.daganm.co.il/sku/CABLE-5513-0.5","CABLE-5513-0.5")</f>
        <v>CABLE-5513-0.5</v>
      </c>
      <c r="B965" t="s">
        <v>6</v>
      </c>
      <c r="C965" s="2" t="s">
        <v>784</v>
      </c>
      <c r="D965" s="32"/>
      <c r="E965" s="35" t="s">
        <v>2307</v>
      </c>
    </row>
    <row r="966" spans="1:5" x14ac:dyDescent="0.2">
      <c r="A966" s="34" t="str">
        <f>HYPERLINK("http://www.daganm.co.il/sku/CBL5513-1","CBL5513-1")</f>
        <v>CBL5513-1</v>
      </c>
      <c r="B966" t="s">
        <v>6</v>
      </c>
      <c r="C966" s="2" t="s">
        <v>785</v>
      </c>
      <c r="D966" s="32"/>
      <c r="E966" s="35" t="s">
        <v>2308</v>
      </c>
    </row>
    <row r="967" spans="1:5" x14ac:dyDescent="0.2">
      <c r="A967" s="34" t="str">
        <f>HYPERLINK("http://www.daganm.co.il/sku/CBL5513-2","CBL5513-2")</f>
        <v>CBL5513-2</v>
      </c>
      <c r="B967" t="s">
        <v>6</v>
      </c>
      <c r="C967" s="2" t="s">
        <v>786</v>
      </c>
      <c r="D967" s="32"/>
      <c r="E967" s="32" t="s">
        <v>2309</v>
      </c>
    </row>
    <row r="968" spans="1:5" x14ac:dyDescent="0.2">
      <c r="A968" s="34" t="str">
        <f>HYPERLINK("http://www.daganm.co.il/sku/CBL5513-3","CBL5513-3")</f>
        <v>CBL5513-3</v>
      </c>
      <c r="B968" t="s">
        <v>6</v>
      </c>
      <c r="C968" s="2" t="s">
        <v>787</v>
      </c>
      <c r="D968" s="32"/>
      <c r="E968" s="35" t="s">
        <v>2310</v>
      </c>
    </row>
    <row r="969" spans="1:5" x14ac:dyDescent="0.2">
      <c r="A969" s="34" t="str">
        <f>HYPERLINK("http://www.daganm.co.il/sku/CBL5513-5","CBL5513-5")</f>
        <v>CBL5513-5</v>
      </c>
      <c r="B969" t="s">
        <v>6</v>
      </c>
      <c r="C969" s="2" t="s">
        <v>788</v>
      </c>
      <c r="D969" s="32"/>
      <c r="E969" s="35" t="s">
        <v>2311</v>
      </c>
    </row>
    <row r="970" spans="1:5" x14ac:dyDescent="0.2">
      <c r="A970" s="34" t="str">
        <f>HYPERLINK("http://www.daganm.co.il/sku/CBL5513-10","CBL5513-10")</f>
        <v>CBL5513-10</v>
      </c>
      <c r="B970" t="s">
        <v>6</v>
      </c>
      <c r="C970" s="2" t="s">
        <v>789</v>
      </c>
      <c r="D970" s="32"/>
      <c r="E970" s="32" t="s">
        <v>2312</v>
      </c>
    </row>
    <row r="971" spans="1:5" x14ac:dyDescent="0.2">
      <c r="A971" s="34" t="str">
        <f>HYPERLINK("http://www.daganm.co.il/sku/CBL5513-15","CBL5513-15")</f>
        <v>CBL5513-15</v>
      </c>
      <c r="B971" t="s">
        <v>6</v>
      </c>
      <c r="C971" s="2" t="s">
        <v>790</v>
      </c>
      <c r="D971" s="32"/>
      <c r="E971" s="35" t="s">
        <v>2313</v>
      </c>
    </row>
    <row r="972" spans="1:5" x14ac:dyDescent="0.2">
      <c r="B972"/>
      <c r="C972" s="33" t="s">
        <v>38</v>
      </c>
      <c r="D972" s="32"/>
      <c r="E972" s="35"/>
    </row>
    <row r="973" spans="1:5" x14ac:dyDescent="0.2">
      <c r="A973" s="34" t="str">
        <f>HYPERLINK("http://www.daganm.co.il/sku/CABLE-559-0.5","CABLE-559-0.5")</f>
        <v>CABLE-559-0.5</v>
      </c>
      <c r="B973" t="s">
        <v>6</v>
      </c>
      <c r="C973" s="2" t="s">
        <v>3753</v>
      </c>
      <c r="D973" s="32"/>
      <c r="E973" s="35" t="s">
        <v>2324</v>
      </c>
    </row>
    <row r="974" spans="1:5" x14ac:dyDescent="0.2">
      <c r="A974" s="34" t="str">
        <f>HYPERLINK("http://www.daganm.co.il/sku/CABLE-559-1","CABLE-559-1")</f>
        <v>CABLE-559-1</v>
      </c>
      <c r="B974" t="s">
        <v>6</v>
      </c>
      <c r="C974" s="2" t="s">
        <v>3754</v>
      </c>
      <c r="D974" s="32"/>
      <c r="E974" s="35" t="s">
        <v>2325</v>
      </c>
    </row>
    <row r="975" spans="1:5" x14ac:dyDescent="0.2">
      <c r="A975" s="34" t="str">
        <f>HYPERLINK("http://www.daganm.co.il/sku/CABLE-559-2","CABLE-559-2")</f>
        <v>CABLE-559-2</v>
      </c>
      <c r="B975" t="s">
        <v>6</v>
      </c>
      <c r="C975" s="2" t="s">
        <v>3755</v>
      </c>
      <c r="D975" s="32"/>
      <c r="E975" s="35" t="s">
        <v>2326</v>
      </c>
    </row>
    <row r="976" spans="1:5" x14ac:dyDescent="0.2">
      <c r="A976" s="34" t="str">
        <f>HYPERLINK("http://www.daganm.co.il/sku/CABLE-559-3","CABLE-559-3")</f>
        <v>CABLE-559-3</v>
      </c>
      <c r="B976" t="s">
        <v>6</v>
      </c>
      <c r="C976" s="2" t="s">
        <v>3756</v>
      </c>
      <c r="D976" s="32"/>
      <c r="E976" s="35" t="s">
        <v>2327</v>
      </c>
    </row>
    <row r="977" spans="1:5" x14ac:dyDescent="0.2">
      <c r="A977" s="34" t="str">
        <f>HYPERLINK("http://www.daganm.co.il/sku/CABLE-559-5","CABLE-559-5")</f>
        <v>CABLE-559-5</v>
      </c>
      <c r="B977" t="s">
        <v>6</v>
      </c>
      <c r="C977" s="2" t="s">
        <v>3757</v>
      </c>
      <c r="D977" s="32"/>
      <c r="E977" s="35" t="s">
        <v>2328</v>
      </c>
    </row>
    <row r="978" spans="1:5" x14ac:dyDescent="0.2">
      <c r="B978"/>
      <c r="C978" s="33" t="s">
        <v>39</v>
      </c>
      <c r="D978" s="32"/>
      <c r="E978" s="35"/>
    </row>
    <row r="979" spans="1:5" x14ac:dyDescent="0.2">
      <c r="A979" s="34" t="str">
        <f>HYPERLINK("http://www.daganm.co.il/sku/CABLE-557W-2.0","CABLE-557W-2.0")</f>
        <v>CABLE-557W-2.0</v>
      </c>
      <c r="B979" t="s">
        <v>6</v>
      </c>
      <c r="C979" s="2" t="s">
        <v>801</v>
      </c>
      <c r="D979" s="32"/>
      <c r="E979" s="35" t="s">
        <v>2329</v>
      </c>
    </row>
    <row r="980" spans="1:5" x14ac:dyDescent="0.2">
      <c r="A980" s="34" t="str">
        <f>HYPERLINK("http://www.daganm.co.il/sku/CABLE-557W-3.0","CABLE-557W-3.0")</f>
        <v>CABLE-557W-3.0</v>
      </c>
      <c r="B980" t="s">
        <v>6</v>
      </c>
      <c r="C980" s="2" t="s">
        <v>802</v>
      </c>
      <c r="D980" s="32"/>
      <c r="E980" s="35" t="s">
        <v>2330</v>
      </c>
    </row>
    <row r="981" spans="1:5" x14ac:dyDescent="0.2">
      <c r="A981" s="34" t="str">
        <f>HYPERLINK("http://www.daganm.co.il/sku/CABLE-557W-5.0","CABLE-557W-5.0")</f>
        <v>CABLE-557W-5.0</v>
      </c>
      <c r="B981" t="s">
        <v>6</v>
      </c>
      <c r="C981" s="2" t="s">
        <v>803</v>
      </c>
      <c r="D981" s="32"/>
      <c r="E981" s="35" t="s">
        <v>2331</v>
      </c>
    </row>
    <row r="982" spans="1:5" x14ac:dyDescent="0.2">
      <c r="A982" s="34" t="str">
        <f>HYPERLINK("http://www.daganm.co.il/sku/CABLE-557W-7.5","CABLE-557W-7.5")</f>
        <v>CABLE-557W-7.5</v>
      </c>
      <c r="B982" t="s">
        <v>6</v>
      </c>
      <c r="C982" s="2" t="s">
        <v>804</v>
      </c>
      <c r="D982" s="32"/>
      <c r="E982" s="35" t="s">
        <v>2332</v>
      </c>
    </row>
    <row r="983" spans="1:5" x14ac:dyDescent="0.2">
      <c r="A983" s="34" t="str">
        <f>HYPERLINK("http://www.daganm.co.il/sku/CABLE-557W-10","CABLE-557W-10")</f>
        <v>CABLE-557W-10</v>
      </c>
      <c r="B983" t="s">
        <v>6</v>
      </c>
      <c r="C983" s="2" t="s">
        <v>805</v>
      </c>
      <c r="D983" s="32"/>
      <c r="E983" s="35" t="s">
        <v>2333</v>
      </c>
    </row>
    <row r="984" spans="1:5" x14ac:dyDescent="0.2">
      <c r="A984" s="34" t="str">
        <f>HYPERLINK("http://www.daganm.co.il/sku/CABLE-557WHQ-15","CABLE-557WHQ-15")</f>
        <v>CABLE-557WHQ-15</v>
      </c>
      <c r="B984" t="s">
        <v>6</v>
      </c>
      <c r="C984" s="2" t="s">
        <v>806</v>
      </c>
      <c r="D984" s="32"/>
      <c r="E984" s="35" t="s">
        <v>2334</v>
      </c>
    </row>
    <row r="985" spans="1:5" x14ac:dyDescent="0.2">
      <c r="B985"/>
      <c r="C985" s="33" t="s">
        <v>40</v>
      </c>
      <c r="D985" s="36"/>
      <c r="E985" s="35"/>
    </row>
    <row r="986" spans="1:5" x14ac:dyDescent="0.2">
      <c r="A986" s="34" t="str">
        <f>HYPERLINK("http://www.daganm.co.il/sku/CABLE-558/1.5","CABLE-558/1.5")</f>
        <v>CABLE-558/1.5</v>
      </c>
      <c r="B986" t="s">
        <v>6</v>
      </c>
      <c r="C986" s="2" t="s">
        <v>807</v>
      </c>
      <c r="D986" s="32"/>
      <c r="E986" s="35" t="s">
        <v>2335</v>
      </c>
    </row>
    <row r="987" spans="1:5" x14ac:dyDescent="0.2">
      <c r="A987" s="34" t="str">
        <f>HYPERLINK("http://www.daganm.co.il/sku/CABLE-558/3","CABLE-558/3")</f>
        <v>CABLE-558/3</v>
      </c>
      <c r="B987" t="s">
        <v>6</v>
      </c>
      <c r="C987" s="2" t="s">
        <v>808</v>
      </c>
      <c r="D987" s="32"/>
      <c r="E987" s="35" t="s">
        <v>2336</v>
      </c>
    </row>
    <row r="988" spans="1:5" x14ac:dyDescent="0.2">
      <c r="A988" s="34" t="str">
        <f>HYPERLINK("http://www.daganm.co.il/sku/CABLE-558/5.0","CABLE-558/5.0")</f>
        <v>CABLE-558/5.0</v>
      </c>
      <c r="B988" t="s">
        <v>6</v>
      </c>
      <c r="C988" s="2" t="s">
        <v>809</v>
      </c>
      <c r="D988" s="36"/>
      <c r="E988" s="35" t="s">
        <v>2337</v>
      </c>
    </row>
    <row r="989" spans="1:5" x14ac:dyDescent="0.2">
      <c r="A989" s="34" t="str">
        <f>HYPERLINK("http://www.daganm.co.il/sku/CABLE-558/10","CABLE-558/10")</f>
        <v>CABLE-558/10</v>
      </c>
      <c r="B989" t="s">
        <v>6</v>
      </c>
      <c r="C989" s="2" t="s">
        <v>3317</v>
      </c>
      <c r="D989" s="36"/>
      <c r="E989" s="35" t="s">
        <v>2338</v>
      </c>
    </row>
    <row r="990" spans="1:5" x14ac:dyDescent="0.2">
      <c r="B990"/>
      <c r="C990" s="33" t="s">
        <v>41</v>
      </c>
      <c r="D990" s="32"/>
      <c r="E990" s="35"/>
    </row>
    <row r="991" spans="1:5" x14ac:dyDescent="0.2">
      <c r="A991" s="34" t="str">
        <f>HYPERLINK("http://www.daganm.co.il/sku/CABLE-557EX/0.2","CABLE-557EX/0.2")</f>
        <v>CABLE-557EX/0.2</v>
      </c>
      <c r="B991" t="s">
        <v>6</v>
      </c>
      <c r="C991" s="2" t="s">
        <v>810</v>
      </c>
      <c r="D991" s="32"/>
      <c r="E991" s="35" t="s">
        <v>2339</v>
      </c>
    </row>
    <row r="992" spans="1:5" x14ac:dyDescent="0.2">
      <c r="A992" s="34" t="str">
        <f>HYPERLINK("http://www.daganm.co.il/sku/CABLE-557EX/0.5","CABLE-557EX/0.5")</f>
        <v>CABLE-557EX/0.5</v>
      </c>
      <c r="B992" t="s">
        <v>6</v>
      </c>
      <c r="C992" s="2" t="s">
        <v>811</v>
      </c>
      <c r="D992" s="32"/>
      <c r="E992" s="35" t="s">
        <v>2340</v>
      </c>
    </row>
    <row r="993" spans="1:5" x14ac:dyDescent="0.2">
      <c r="A993" s="34" t="str">
        <f>HYPERLINK("http://www.daganm.co.il/sku/CABLE-557EX-1","CABLE-557EX-1")</f>
        <v>CABLE-557EX-1</v>
      </c>
      <c r="B993" t="s">
        <v>6</v>
      </c>
      <c r="C993" s="2" t="s">
        <v>812</v>
      </c>
      <c r="D993" s="32"/>
      <c r="E993" s="35" t="s">
        <v>2341</v>
      </c>
    </row>
    <row r="994" spans="1:5" x14ac:dyDescent="0.2">
      <c r="A994" s="34" t="str">
        <f>HYPERLINK("http://www.daganm.co.il/sku/CABLE-557EX-2","CABLE-557EX-2")</f>
        <v>CABLE-557EX-2</v>
      </c>
      <c r="B994" t="s">
        <v>6</v>
      </c>
      <c r="C994" s="2" t="s">
        <v>813</v>
      </c>
      <c r="D994" s="32"/>
      <c r="E994" s="35" t="s">
        <v>2342</v>
      </c>
    </row>
    <row r="995" spans="1:5" x14ac:dyDescent="0.2">
      <c r="A995" s="34" t="str">
        <f>HYPERLINK("http://www.daganm.co.il/sku/CABLE-557EX-3","CABLE-557EX-3")</f>
        <v>CABLE-557EX-3</v>
      </c>
      <c r="B995" t="s">
        <v>6</v>
      </c>
      <c r="C995" s="2" t="s">
        <v>814</v>
      </c>
      <c r="D995" s="32"/>
      <c r="E995" s="35" t="s">
        <v>2343</v>
      </c>
    </row>
    <row r="996" spans="1:5" x14ac:dyDescent="0.2">
      <c r="A996" s="34" t="str">
        <f>HYPERLINK("http://www.daganm.co.il/sku/CABLE-557EX-5","CABLE-557EX-5")</f>
        <v>CABLE-557EX-5</v>
      </c>
      <c r="B996" t="s">
        <v>6</v>
      </c>
      <c r="C996" s="2" t="s">
        <v>815</v>
      </c>
      <c r="D996" s="32"/>
      <c r="E996" s="35" t="s">
        <v>2344</v>
      </c>
    </row>
    <row r="997" spans="1:5" x14ac:dyDescent="0.2">
      <c r="B997"/>
      <c r="C997" s="33" t="s">
        <v>42</v>
      </c>
      <c r="D997" s="32"/>
      <c r="E997" s="35"/>
    </row>
    <row r="998" spans="1:5" x14ac:dyDescent="0.2">
      <c r="A998" s="34" t="str">
        <f>HYPERLINK("http://www.daganm.co.il/sku/CABLE-557P-0.5","CABLE-557P-0.5")</f>
        <v>CABLE-557P-0.5</v>
      </c>
      <c r="B998" t="s">
        <v>6</v>
      </c>
      <c r="C998" s="2" t="s">
        <v>816</v>
      </c>
      <c r="D998" s="32"/>
      <c r="E998" s="35" t="s">
        <v>2345</v>
      </c>
    </row>
    <row r="999" spans="1:5" x14ac:dyDescent="0.2">
      <c r="A999" s="34" t="str">
        <f>HYPERLINK("http://www.daganm.co.il/sku/CABLE-557FF/0.2","CABLE-557FF/0.2")</f>
        <v>CABLE-557FF/0.2</v>
      </c>
      <c r="B999" t="s">
        <v>6</v>
      </c>
      <c r="C999" s="2" t="s">
        <v>817</v>
      </c>
      <c r="D999" s="32"/>
      <c r="E999" s="35" t="s">
        <v>2346</v>
      </c>
    </row>
    <row r="1000" spans="1:5" x14ac:dyDescent="0.2">
      <c r="B1000"/>
      <c r="C1000" s="33" t="s">
        <v>818</v>
      </c>
      <c r="D1000" s="36"/>
      <c r="E1000" s="35"/>
    </row>
    <row r="1001" spans="1:5" x14ac:dyDescent="0.2">
      <c r="A1001" s="34" t="str">
        <f>HYPERLINK("http://www.daganm.co.il/sku/CABLE-590-10","CABLE-590-10")</f>
        <v>CABLE-590-10</v>
      </c>
      <c r="B1001" t="s">
        <v>6</v>
      </c>
      <c r="C1001" s="2" t="s">
        <v>3758</v>
      </c>
      <c r="D1001" s="32"/>
      <c r="E1001" s="35" t="s">
        <v>2347</v>
      </c>
    </row>
    <row r="1002" spans="1:5" x14ac:dyDescent="0.2">
      <c r="A1002" s="34" t="str">
        <f>HYPERLINK("http://www.daganm.co.il/sku/CABLE-590-15","CABLE-590-15")</f>
        <v>CABLE-590-15</v>
      </c>
      <c r="B1002" t="s">
        <v>6</v>
      </c>
      <c r="C1002" s="2" t="s">
        <v>3759</v>
      </c>
      <c r="D1002" s="32"/>
      <c r="E1002" s="35" t="s">
        <v>2348</v>
      </c>
    </row>
    <row r="1003" spans="1:5" x14ac:dyDescent="0.2">
      <c r="A1003" s="34" t="str">
        <f>HYPERLINK("http://www.daganm.co.il/sku/CABLE-590-20","CABLE-590-20")</f>
        <v>CABLE-590-20</v>
      </c>
      <c r="B1003" t="s">
        <v>6</v>
      </c>
      <c r="C1003" s="2" t="s">
        <v>3760</v>
      </c>
      <c r="D1003" s="32"/>
      <c r="E1003" s="35" t="s">
        <v>2349</v>
      </c>
    </row>
    <row r="1004" spans="1:5" x14ac:dyDescent="0.2">
      <c r="A1004" s="34" t="str">
        <f>HYPERLINK("http://www.daganm.co.il/sku/CABLE-590-25","CABLE-590-25")</f>
        <v>CABLE-590-25</v>
      </c>
      <c r="B1004" t="s">
        <v>6</v>
      </c>
      <c r="C1004" s="2" t="s">
        <v>3761</v>
      </c>
      <c r="D1004" s="32"/>
      <c r="E1004" s="35" t="s">
        <v>2350</v>
      </c>
    </row>
    <row r="1005" spans="1:5" x14ac:dyDescent="0.2">
      <c r="A1005" s="34" t="str">
        <f>HYPERLINK("http://www.daganm.co.il/sku/CABLE-590-30","CABLE-590-30")</f>
        <v>CABLE-590-30</v>
      </c>
      <c r="B1005" t="s">
        <v>6</v>
      </c>
      <c r="C1005" s="2" t="s">
        <v>3762</v>
      </c>
      <c r="D1005" s="32"/>
      <c r="E1005" s="35" t="s">
        <v>2351</v>
      </c>
    </row>
    <row r="1006" spans="1:5" x14ac:dyDescent="0.2">
      <c r="A1006" s="34" t="str">
        <f>HYPERLINK("http://www.daganm.co.il/sku/CABLE-590-40","CABLE-590-40")</f>
        <v>CABLE-590-40</v>
      </c>
      <c r="B1006" t="s">
        <v>6</v>
      </c>
      <c r="C1006" s="2" t="s">
        <v>3763</v>
      </c>
      <c r="D1006" s="32"/>
      <c r="E1006" s="35" t="s">
        <v>2352</v>
      </c>
    </row>
    <row r="1007" spans="1:5" x14ac:dyDescent="0.2">
      <c r="A1007" s="34" t="str">
        <f>HYPERLINK("http://www.daganm.co.il/sku/CABLE-590-50","CABLE-590-50")</f>
        <v>CABLE-590-50</v>
      </c>
      <c r="B1007" t="s">
        <v>6</v>
      </c>
      <c r="C1007" s="2" t="s">
        <v>3764</v>
      </c>
      <c r="D1007" s="36"/>
      <c r="E1007" s="35" t="s">
        <v>2353</v>
      </c>
    </row>
    <row r="1008" spans="1:5" x14ac:dyDescent="0.2">
      <c r="A1008" s="34" t="str">
        <f>HYPERLINK("http://www.daganm.co.il/sku/CABLE-592-10","CABLE-592-10")</f>
        <v>CABLE-592-10</v>
      </c>
      <c r="B1008" t="s">
        <v>6</v>
      </c>
      <c r="C1008" s="2" t="s">
        <v>3765</v>
      </c>
      <c r="D1008" s="32"/>
      <c r="E1008" s="35" t="s">
        <v>2354</v>
      </c>
    </row>
    <row r="1009" spans="1:5" x14ac:dyDescent="0.2">
      <c r="A1009" s="34" t="str">
        <f>HYPERLINK("http://www.daganm.co.il/sku/CABLE-592-15","CABLE-592-15")</f>
        <v>CABLE-592-15</v>
      </c>
      <c r="B1009" t="s">
        <v>6</v>
      </c>
      <c r="C1009" s="2" t="s">
        <v>3766</v>
      </c>
      <c r="D1009" s="32"/>
      <c r="E1009" s="32" t="s">
        <v>2355</v>
      </c>
    </row>
    <row r="1010" spans="1:5" x14ac:dyDescent="0.2">
      <c r="A1010" s="34" t="str">
        <f>HYPERLINK("http://www.daganm.co.il/sku/CABLE-592-20","CABLE-592-20")</f>
        <v>CABLE-592-20</v>
      </c>
      <c r="B1010" t="s">
        <v>6</v>
      </c>
      <c r="C1010" s="2" t="s">
        <v>3767</v>
      </c>
      <c r="D1010" s="32"/>
      <c r="E1010" s="35" t="s">
        <v>2356</v>
      </c>
    </row>
    <row r="1011" spans="1:5" x14ac:dyDescent="0.2">
      <c r="A1011" s="34" t="str">
        <f>HYPERLINK("http://www.daganm.co.il/sku/CABLE-592-25","CABLE-592-25")</f>
        <v>CABLE-592-25</v>
      </c>
      <c r="B1011" t="s">
        <v>6</v>
      </c>
      <c r="C1011" s="2" t="s">
        <v>3768</v>
      </c>
      <c r="D1011" s="32"/>
      <c r="E1011" s="35" t="s">
        <v>2357</v>
      </c>
    </row>
    <row r="1012" spans="1:5" x14ac:dyDescent="0.2">
      <c r="A1012" s="34" t="str">
        <f>HYPERLINK("http://www.daganm.co.il/sku/CABLE-592-30","CABLE-592-30")</f>
        <v>CABLE-592-30</v>
      </c>
      <c r="B1012" t="s">
        <v>6</v>
      </c>
      <c r="C1012" s="2" t="s">
        <v>3769</v>
      </c>
      <c r="D1012" s="32"/>
      <c r="E1012" s="35" t="s">
        <v>2358</v>
      </c>
    </row>
    <row r="1013" spans="1:5" x14ac:dyDescent="0.2">
      <c r="A1013" s="34" t="str">
        <f>HYPERLINK("http://www.daganm.co.il/sku/CABLE-592-ADP","CABLE-592-ADP")</f>
        <v>CABLE-592-ADP</v>
      </c>
      <c r="B1013" t="s">
        <v>6</v>
      </c>
      <c r="C1013" s="2" t="s">
        <v>819</v>
      </c>
      <c r="D1013" s="32"/>
      <c r="E1013" s="35" t="s">
        <v>2359</v>
      </c>
    </row>
    <row r="1014" spans="1:5" x14ac:dyDescent="0.2">
      <c r="A1014" s="34" t="str">
        <f>HYPERLINK("http://www.daganm.co.il/sku/CBL5951HQ-10","CBL5951HQ-10")</f>
        <v>CBL5951HQ-10</v>
      </c>
      <c r="B1014" t="s">
        <v>6</v>
      </c>
      <c r="C1014" s="2" t="s">
        <v>3770</v>
      </c>
      <c r="D1014" s="32"/>
      <c r="E1014" s="35" t="s">
        <v>4002</v>
      </c>
    </row>
    <row r="1015" spans="1:5" x14ac:dyDescent="0.2">
      <c r="A1015" s="34" t="str">
        <f>HYPERLINK("http://www.daganm.co.il/sku/CBL5951HQ-15","CBL5951HQ-15")</f>
        <v>CBL5951HQ-15</v>
      </c>
      <c r="B1015" t="s">
        <v>6</v>
      </c>
      <c r="C1015" s="2" t="s">
        <v>3771</v>
      </c>
      <c r="D1015" s="32"/>
      <c r="E1015" s="35" t="s">
        <v>3440</v>
      </c>
    </row>
    <row r="1016" spans="1:5" x14ac:dyDescent="0.2">
      <c r="A1016" s="34" t="str">
        <f>HYPERLINK("http://www.daganm.co.il/sku/CBL5951HQ-20","CBL5951HQ-20")</f>
        <v>CBL5951HQ-20</v>
      </c>
      <c r="B1016" t="s">
        <v>6</v>
      </c>
      <c r="C1016" s="2" t="s">
        <v>3772</v>
      </c>
      <c r="D1016" s="32"/>
      <c r="E1016" s="32" t="s">
        <v>3441</v>
      </c>
    </row>
    <row r="1017" spans="1:5" x14ac:dyDescent="0.2">
      <c r="A1017" s="34" t="str">
        <f>HYPERLINK("http://www.daganm.co.il/sku/CBL5951HQ-30","CBL5951HQ-30")</f>
        <v>CBL5951HQ-30</v>
      </c>
      <c r="B1017" t="s">
        <v>6</v>
      </c>
      <c r="C1017" s="2" t="s">
        <v>3773</v>
      </c>
      <c r="D1017" s="32"/>
      <c r="E1017" s="35" t="s">
        <v>3442</v>
      </c>
    </row>
    <row r="1018" spans="1:5" x14ac:dyDescent="0.2">
      <c r="A1018" s="34" t="str">
        <f>HYPERLINK("http://www.daganm.co.il/sku/CBL5951HQ-40","CBL5951HQ-40")</f>
        <v>CBL5951HQ-40</v>
      </c>
      <c r="B1018" t="s">
        <v>6</v>
      </c>
      <c r="C1018" s="2" t="s">
        <v>3774</v>
      </c>
      <c r="D1018" s="32"/>
      <c r="E1018" s="35" t="s">
        <v>4003</v>
      </c>
    </row>
    <row r="1019" spans="1:5" x14ac:dyDescent="0.2">
      <c r="A1019" s="34" t="str">
        <f>HYPERLINK("http://www.daganm.co.il/sku/CBL5951HQ-50","CBL5951HQ-50")</f>
        <v>CBL5951HQ-50</v>
      </c>
      <c r="B1019" t="s">
        <v>6</v>
      </c>
      <c r="C1019" s="2" t="s">
        <v>3775</v>
      </c>
      <c r="D1019" s="32"/>
      <c r="E1019" s="35" t="s">
        <v>3443</v>
      </c>
    </row>
    <row r="1020" spans="1:5" x14ac:dyDescent="0.2">
      <c r="A1020" s="34" t="str">
        <f>HYPERLINK("http://www.daganm.co.il/sku/CBL5951HQ-75","CBL5951HQ-75")</f>
        <v>CBL5951HQ-75</v>
      </c>
      <c r="B1020" t="s">
        <v>6</v>
      </c>
      <c r="C1020" s="2" t="s">
        <v>3776</v>
      </c>
      <c r="D1020" s="32"/>
      <c r="E1020" s="35" t="s">
        <v>3644</v>
      </c>
    </row>
    <row r="1021" spans="1:5" x14ac:dyDescent="0.2">
      <c r="A1021" s="34" t="str">
        <f>HYPERLINK("http://www.daganm.co.il/sku/CBL5951HQ-100","CBL5951HQ-100")</f>
        <v>CBL5951HQ-100</v>
      </c>
      <c r="B1021" t="s">
        <v>6</v>
      </c>
      <c r="C1021" s="2" t="s">
        <v>3777</v>
      </c>
      <c r="D1021" s="32"/>
      <c r="E1021" s="35" t="s">
        <v>3444</v>
      </c>
    </row>
    <row r="1022" spans="1:5" x14ac:dyDescent="0.2">
      <c r="A1022" s="34" t="str">
        <f>HYPERLINK("http://www.daganm.co.il/sku/CABLE-5951-10","CABLE-5951-10")</f>
        <v>CABLE-5951-10</v>
      </c>
      <c r="B1022" t="s">
        <v>6</v>
      </c>
      <c r="C1022" s="2" t="s">
        <v>3778</v>
      </c>
      <c r="D1022" s="32">
        <v>45442</v>
      </c>
      <c r="E1022" s="35" t="s">
        <v>2360</v>
      </c>
    </row>
    <row r="1023" spans="1:5" x14ac:dyDescent="0.2">
      <c r="A1023" s="34" t="str">
        <f>HYPERLINK("http://www.daganm.co.il/sku/CABLE-5951-15","CABLE-5951-15")</f>
        <v>CABLE-5951-15</v>
      </c>
      <c r="B1023" t="s">
        <v>6</v>
      </c>
      <c r="C1023" s="2" t="s">
        <v>3779</v>
      </c>
      <c r="D1023" s="32"/>
      <c r="E1023" s="35" t="s">
        <v>2361</v>
      </c>
    </row>
    <row r="1024" spans="1:5" x14ac:dyDescent="0.2">
      <c r="A1024" s="34" t="str">
        <f>HYPERLINK("http://www.daganm.co.il/sku/CABLE-5951-20","CABLE-5951-20")</f>
        <v>CABLE-5951-20</v>
      </c>
      <c r="B1024" t="s">
        <v>6</v>
      </c>
      <c r="C1024" s="2" t="s">
        <v>3780</v>
      </c>
      <c r="D1024" s="32"/>
      <c r="E1024" s="35" t="s">
        <v>2362</v>
      </c>
    </row>
    <row r="1025" spans="1:5" x14ac:dyDescent="0.2">
      <c r="A1025" s="34" t="str">
        <f>HYPERLINK("http://www.daganm.co.il/sku/CABLE-5951-25","CABLE-5951-25")</f>
        <v>CABLE-5951-25</v>
      </c>
      <c r="B1025" t="s">
        <v>6</v>
      </c>
      <c r="C1025" s="2" t="s">
        <v>3781</v>
      </c>
      <c r="D1025" s="32"/>
      <c r="E1025" s="35" t="s">
        <v>2363</v>
      </c>
    </row>
    <row r="1026" spans="1:5" x14ac:dyDescent="0.2">
      <c r="A1026" s="34" t="str">
        <f>HYPERLINK("http://www.daganm.co.il/sku/CABLE-5951-30","CABLE-5951-30")</f>
        <v>CABLE-5951-30</v>
      </c>
      <c r="B1026" t="s">
        <v>6</v>
      </c>
      <c r="C1026" s="2" t="s">
        <v>3782</v>
      </c>
      <c r="D1026" s="32"/>
      <c r="E1026" s="35" t="s">
        <v>2364</v>
      </c>
    </row>
    <row r="1027" spans="1:5" x14ac:dyDescent="0.2">
      <c r="A1027" s="34" t="str">
        <f>HYPERLINK("http://www.daganm.co.il/sku/CABLE-5951-40","CABLE-5951-40")</f>
        <v>CABLE-5951-40</v>
      </c>
      <c r="B1027" t="s">
        <v>6</v>
      </c>
      <c r="C1027" s="2" t="s">
        <v>3783</v>
      </c>
      <c r="D1027" s="32"/>
      <c r="E1027" s="35" t="s">
        <v>2365</v>
      </c>
    </row>
    <row r="1028" spans="1:5" x14ac:dyDescent="0.2">
      <c r="A1028" s="34" t="str">
        <f>HYPERLINK("http://www.daganm.co.il/sku/CABLE-5951-50","CABLE-5951-50")</f>
        <v>CABLE-5951-50</v>
      </c>
      <c r="B1028" t="s">
        <v>6</v>
      </c>
      <c r="C1028" s="2" t="s">
        <v>3784</v>
      </c>
      <c r="D1028" s="32"/>
      <c r="E1028" s="35" t="s">
        <v>2366</v>
      </c>
    </row>
    <row r="1029" spans="1:5" x14ac:dyDescent="0.2">
      <c r="A1029" s="34" t="str">
        <f>HYPERLINK("http://www.daganm.co.il/sku/CABLE-5952-5","CABLE-5952-5")</f>
        <v>CABLE-5952-5</v>
      </c>
      <c r="B1029" t="s">
        <v>6</v>
      </c>
      <c r="C1029" s="2" t="s">
        <v>3785</v>
      </c>
      <c r="D1029" s="32"/>
      <c r="E1029" s="35" t="s">
        <v>3645</v>
      </c>
    </row>
    <row r="1030" spans="1:5" x14ac:dyDescent="0.2">
      <c r="A1030" s="34" t="str">
        <f>HYPERLINK("http://www.daganm.co.il/sku/CABLE-5952-7.5","CABLE-5952-7.5")</f>
        <v>CABLE-5952-7.5</v>
      </c>
      <c r="B1030" t="s">
        <v>6</v>
      </c>
      <c r="C1030" s="2" t="s">
        <v>3786</v>
      </c>
      <c r="D1030" s="32"/>
      <c r="E1030" s="35" t="s">
        <v>3646</v>
      </c>
    </row>
    <row r="1031" spans="1:5" x14ac:dyDescent="0.2">
      <c r="A1031" s="34" t="str">
        <f>HYPERLINK("http://www.daganm.co.il/sku/CABLE-5952-10","CABLE-5952-10")</f>
        <v>CABLE-5952-10</v>
      </c>
      <c r="B1031" t="s">
        <v>6</v>
      </c>
      <c r="C1031" s="2" t="s">
        <v>3787</v>
      </c>
      <c r="D1031" s="32"/>
      <c r="E1031" s="32" t="s">
        <v>3445</v>
      </c>
    </row>
    <row r="1032" spans="1:5" x14ac:dyDescent="0.2">
      <c r="A1032" s="34" t="str">
        <f>HYPERLINK("http://www.daganm.co.il/sku/CABLE-5952-15","CABLE-5952-15")</f>
        <v>CABLE-5952-15</v>
      </c>
      <c r="B1032" t="s">
        <v>6</v>
      </c>
      <c r="C1032" s="2" t="s">
        <v>3788</v>
      </c>
      <c r="D1032" s="32"/>
      <c r="E1032" s="35" t="s">
        <v>3446</v>
      </c>
    </row>
    <row r="1033" spans="1:5" x14ac:dyDescent="0.2">
      <c r="A1033" s="34" t="str">
        <f>HYPERLINK("http://www.daganm.co.il/sku/CABLE-5952-20","CABLE-5952-20")</f>
        <v>CABLE-5952-20</v>
      </c>
      <c r="B1033" t="s">
        <v>6</v>
      </c>
      <c r="C1033" s="2" t="s">
        <v>3789</v>
      </c>
      <c r="D1033" s="32"/>
      <c r="E1033" s="35" t="s">
        <v>3447</v>
      </c>
    </row>
    <row r="1034" spans="1:5" x14ac:dyDescent="0.2">
      <c r="A1034" s="34" t="str">
        <f>HYPERLINK("http://www.daganm.co.il/sku/CABLE-5952-25","CABLE-5952-25")</f>
        <v>CABLE-5952-25</v>
      </c>
      <c r="B1034" t="s">
        <v>6</v>
      </c>
      <c r="C1034" s="2" t="s">
        <v>3790</v>
      </c>
      <c r="D1034" s="32"/>
      <c r="E1034" s="35" t="s">
        <v>3448</v>
      </c>
    </row>
    <row r="1035" spans="1:5" x14ac:dyDescent="0.2">
      <c r="A1035" s="34" t="str">
        <f>HYPERLINK("http://www.daganm.co.il/sku/CABLE-5952-30","CABLE-5952-30")</f>
        <v>CABLE-5952-30</v>
      </c>
      <c r="B1035" t="s">
        <v>6</v>
      </c>
      <c r="C1035" s="2" t="s">
        <v>3791</v>
      </c>
      <c r="D1035" s="32"/>
      <c r="E1035" s="35" t="s">
        <v>3449</v>
      </c>
    </row>
    <row r="1036" spans="1:5" x14ac:dyDescent="0.2">
      <c r="A1036" s="34" t="str">
        <f>HYPERLINK("http://www.daganm.co.il/sku/CABLE-5952-40","CABLE-5952-40")</f>
        <v>CABLE-5952-40</v>
      </c>
      <c r="B1036" t="s">
        <v>6</v>
      </c>
      <c r="C1036" s="2" t="s">
        <v>3792</v>
      </c>
      <c r="D1036" s="32"/>
      <c r="E1036" s="35" t="s">
        <v>3450</v>
      </c>
    </row>
    <row r="1037" spans="1:5" x14ac:dyDescent="0.2">
      <c r="A1037" s="34" t="str">
        <f>HYPERLINK("http://www.daganm.co.il/sku/CABLE-5952-50","CABLE-5952-50")</f>
        <v>CABLE-5952-50</v>
      </c>
      <c r="B1037" t="s">
        <v>6</v>
      </c>
      <c r="C1037" s="2" t="s">
        <v>3793</v>
      </c>
      <c r="D1037" s="32"/>
      <c r="E1037" s="35" t="s">
        <v>3451</v>
      </c>
    </row>
    <row r="1038" spans="1:5" x14ac:dyDescent="0.2">
      <c r="B1038"/>
      <c r="C1038" s="33" t="s">
        <v>43</v>
      </c>
      <c r="D1038" s="32"/>
      <c r="E1038" s="35"/>
    </row>
    <row r="1039" spans="1:5" x14ac:dyDescent="0.2">
      <c r="A1039" s="34" t="str">
        <f>HYPERLINK("http://www.daganm.co.il/sku/DIY2-C24X100","DIY2-C24X100")</f>
        <v>DIY2-C24X100</v>
      </c>
      <c r="B1039" t="s">
        <v>718</v>
      </c>
      <c r="C1039" s="2" t="s">
        <v>820</v>
      </c>
      <c r="D1039" s="32"/>
      <c r="E1039" s="35" t="s">
        <v>2367</v>
      </c>
    </row>
    <row r="1040" spans="1:5" x14ac:dyDescent="0.2">
      <c r="A1040" s="34" t="str">
        <f>HYPERLINK("http://www.daganm.co.il/sku/DIY1-C26X100","DIY1-C26X100")</f>
        <v>DIY1-C26X100</v>
      </c>
      <c r="B1040" t="s">
        <v>718</v>
      </c>
      <c r="C1040" s="2" t="s">
        <v>821</v>
      </c>
      <c r="D1040" s="32"/>
      <c r="E1040" s="35" t="s">
        <v>2368</v>
      </c>
    </row>
    <row r="1041" spans="1:5" x14ac:dyDescent="0.2">
      <c r="A1041" s="34" t="str">
        <f>HYPERLINK("http://www.daganm.co.il/sku/DIY-C5M","DIY-C5M")</f>
        <v>DIY-C5M</v>
      </c>
      <c r="B1041" t="s">
        <v>6</v>
      </c>
      <c r="C1041" s="2" t="s">
        <v>822</v>
      </c>
      <c r="D1041" s="32"/>
      <c r="E1041" s="35" t="s">
        <v>2369</v>
      </c>
    </row>
    <row r="1042" spans="1:5" x14ac:dyDescent="0.2">
      <c r="A1042" s="34" t="str">
        <f>HYPERLINK("http://www.daganm.co.il/sku/DIY-C15M1","DIY-C15M1")</f>
        <v>DIY-C15M1</v>
      </c>
      <c r="B1042" t="s">
        <v>6</v>
      </c>
      <c r="C1042" s="2" t="s">
        <v>823</v>
      </c>
      <c r="D1042" s="32"/>
      <c r="E1042" s="35" t="s">
        <v>2370</v>
      </c>
    </row>
    <row r="1043" spans="1:5" x14ac:dyDescent="0.2">
      <c r="A1043" s="34" t="str">
        <f>HYPERLINK("http://www.daganm.co.il/sku/DIY-TOOL2","DIY-TOOL2")</f>
        <v>DIY-TOOL2</v>
      </c>
      <c r="B1043" t="s">
        <v>6</v>
      </c>
      <c r="C1043" s="2" t="s">
        <v>824</v>
      </c>
      <c r="D1043" s="32"/>
      <c r="E1043" s="35" t="s">
        <v>2371</v>
      </c>
    </row>
    <row r="1044" spans="1:5" x14ac:dyDescent="0.2">
      <c r="B1044"/>
      <c r="C1044" s="33" t="s">
        <v>44</v>
      </c>
      <c r="D1044" s="32"/>
      <c r="E1044" s="35"/>
    </row>
    <row r="1045" spans="1:5" x14ac:dyDescent="0.2">
      <c r="A1045" s="34" t="str">
        <f>HYPERLINK("http://www.daganm.co.il/sku/CABLE-551G/0.5","CABLE-551G/0.5")</f>
        <v>CABLE-551G/0.5</v>
      </c>
      <c r="B1045" t="s">
        <v>6</v>
      </c>
      <c r="C1045" s="2" t="s">
        <v>825</v>
      </c>
      <c r="D1045" s="32"/>
      <c r="E1045" s="35" t="s">
        <v>2372</v>
      </c>
    </row>
    <row r="1046" spans="1:5" x14ac:dyDescent="0.2">
      <c r="A1046" s="34" t="str">
        <f>HYPERLINK("http://www.daganm.co.il/sku/CABLE-551G/1","CABLE-551G/1")</f>
        <v>CABLE-551G/1</v>
      </c>
      <c r="B1046" t="s">
        <v>6</v>
      </c>
      <c r="C1046" s="2" t="s">
        <v>826</v>
      </c>
      <c r="D1046" s="32"/>
      <c r="E1046" s="35" t="s">
        <v>2373</v>
      </c>
    </row>
    <row r="1047" spans="1:5" x14ac:dyDescent="0.2">
      <c r="A1047" s="34" t="str">
        <f>HYPERLINK("http://www.daganm.co.il/sku/CABLE-551G/1.8","CABLE-551G/1.8")</f>
        <v>CABLE-551G/1.8</v>
      </c>
      <c r="B1047" t="s">
        <v>6</v>
      </c>
      <c r="C1047" s="2" t="s">
        <v>827</v>
      </c>
      <c r="D1047" s="32"/>
      <c r="E1047" s="35" t="s">
        <v>2374</v>
      </c>
    </row>
    <row r="1048" spans="1:5" x14ac:dyDescent="0.2">
      <c r="A1048" s="34" t="str">
        <f>HYPERLINK("http://www.daganm.co.il/sku/CABLE-551G/3","CABLE-551G/3")</f>
        <v>CABLE-551G/3</v>
      </c>
      <c r="B1048" t="s">
        <v>6</v>
      </c>
      <c r="C1048" s="2" t="s">
        <v>828</v>
      </c>
      <c r="D1048" s="32"/>
      <c r="E1048" s="35" t="s">
        <v>2375</v>
      </c>
    </row>
    <row r="1049" spans="1:5" x14ac:dyDescent="0.2">
      <c r="A1049" s="34" t="str">
        <f>HYPERLINK("http://www.daganm.co.il/sku/CABLE-551G/5.0","CABLE-551G/5.0")</f>
        <v>CABLE-551G/5.0</v>
      </c>
      <c r="B1049" t="s">
        <v>6</v>
      </c>
      <c r="C1049" s="2" t="s">
        <v>829</v>
      </c>
      <c r="D1049" s="32"/>
      <c r="E1049" s="35" t="s">
        <v>2376</v>
      </c>
    </row>
    <row r="1050" spans="1:5" x14ac:dyDescent="0.2">
      <c r="A1050" s="34" t="str">
        <f>HYPERLINK("http://www.daganm.co.il/sku/CABLE-551G/7.5","CABLE-551G/7.5")</f>
        <v>CABLE-551G/7.5</v>
      </c>
      <c r="B1050" t="s">
        <v>6</v>
      </c>
      <c r="C1050" s="2" t="s">
        <v>830</v>
      </c>
      <c r="D1050" s="32"/>
      <c r="E1050" s="35" t="s">
        <v>2377</v>
      </c>
    </row>
    <row r="1051" spans="1:5" x14ac:dyDescent="0.2">
      <c r="A1051" s="34" t="str">
        <f>HYPERLINK("http://www.daganm.co.il/sku/CABLE-551G/10","CABLE-551G/10")</f>
        <v>CABLE-551G/10</v>
      </c>
      <c r="B1051" t="s">
        <v>6</v>
      </c>
      <c r="C1051" s="2" t="s">
        <v>831</v>
      </c>
      <c r="D1051" s="32"/>
      <c r="E1051" s="32" t="s">
        <v>2378</v>
      </c>
    </row>
    <row r="1052" spans="1:5" x14ac:dyDescent="0.2">
      <c r="A1052" s="34" t="str">
        <f>HYPERLINK("http://www.daganm.co.il/sku/CABLE-551G/15","CABLE-551G/15")</f>
        <v>CABLE-551G/15</v>
      </c>
      <c r="B1052" t="s">
        <v>6</v>
      </c>
      <c r="C1052" s="2" t="s">
        <v>832</v>
      </c>
      <c r="D1052" s="32"/>
      <c r="E1052" s="35" t="s">
        <v>2379</v>
      </c>
    </row>
    <row r="1053" spans="1:5" x14ac:dyDescent="0.2">
      <c r="A1053" s="34" t="str">
        <f>HYPERLINK("http://www.daganm.co.il/sku/CABLE-551LC/1.8","CABLE-551LC/1.8")</f>
        <v>CABLE-551LC/1.8</v>
      </c>
      <c r="B1053" t="s">
        <v>6</v>
      </c>
      <c r="C1053" s="2" t="s">
        <v>833</v>
      </c>
      <c r="D1053" s="32"/>
      <c r="E1053" s="35" t="s">
        <v>2380</v>
      </c>
    </row>
    <row r="1054" spans="1:5" x14ac:dyDescent="0.2">
      <c r="A1054" s="34" t="str">
        <f>HYPERLINK("http://www.daganm.co.il/sku/CABLE-551LC/3","CABLE-551LC/3")</f>
        <v>CABLE-551LC/3</v>
      </c>
      <c r="B1054" t="s">
        <v>6</v>
      </c>
      <c r="C1054" s="2" t="s">
        <v>834</v>
      </c>
      <c r="D1054" s="32"/>
      <c r="E1054" s="35" t="s">
        <v>2381</v>
      </c>
    </row>
    <row r="1055" spans="1:5" x14ac:dyDescent="0.2">
      <c r="A1055" s="34" t="str">
        <f>HYPERLINK("http://www.daganm.co.il/sku/CABLE-551HQ/1.8","CABLE-551HQ/1.8")</f>
        <v>CABLE-551HQ/1.8</v>
      </c>
      <c r="B1055" t="s">
        <v>6</v>
      </c>
      <c r="C1055" s="2" t="s">
        <v>835</v>
      </c>
      <c r="D1055" s="32">
        <v>45442</v>
      </c>
      <c r="E1055" s="35" t="s">
        <v>2382</v>
      </c>
    </row>
    <row r="1056" spans="1:5" x14ac:dyDescent="0.2">
      <c r="A1056" s="34" t="str">
        <f>HYPERLINK("http://www.daganm.co.il/sku/CABLE-551HQ/3","CABLE-551HQ/3")</f>
        <v>CABLE-551HQ/3</v>
      </c>
      <c r="B1056" t="s">
        <v>6</v>
      </c>
      <c r="C1056" s="2" t="s">
        <v>836</v>
      </c>
      <c r="D1056" s="36"/>
      <c r="E1056" s="35" t="s">
        <v>2383</v>
      </c>
    </row>
    <row r="1057" spans="1:5" x14ac:dyDescent="0.2">
      <c r="A1057" s="34" t="str">
        <f>HYPERLINK("http://www.daganm.co.il/sku/VC-004G-0.15","VC-004G-0.15")</f>
        <v>VC-004G-0.15</v>
      </c>
      <c r="B1057" t="s">
        <v>6</v>
      </c>
      <c r="C1057" s="2" t="s">
        <v>837</v>
      </c>
      <c r="D1057" s="32"/>
      <c r="E1057" s="35" t="s">
        <v>2384</v>
      </c>
    </row>
    <row r="1058" spans="1:5" x14ac:dyDescent="0.2">
      <c r="A1058" s="34" t="str">
        <f>HYPERLINK("http://www.daganm.co.il/sku/VC-003G-0.15","VC-003G-0.15")</f>
        <v>VC-003G-0.15</v>
      </c>
      <c r="B1058" t="s">
        <v>6</v>
      </c>
      <c r="C1058" s="2" t="s">
        <v>838</v>
      </c>
      <c r="D1058" s="32"/>
      <c r="E1058" s="35" t="s">
        <v>2385</v>
      </c>
    </row>
    <row r="1059" spans="1:5" x14ac:dyDescent="0.2">
      <c r="B1059"/>
      <c r="C1059" s="33" t="s">
        <v>839</v>
      </c>
      <c r="D1059" s="32"/>
      <c r="E1059" s="35"/>
    </row>
    <row r="1060" spans="1:5" x14ac:dyDescent="0.2">
      <c r="A1060" s="34" t="str">
        <f>HYPERLINK("http://www.daganm.co.il/sku/CABLE-5505-1","CABLE-5505-1")</f>
        <v>CABLE-5505-1</v>
      </c>
      <c r="B1060" t="s">
        <v>6</v>
      </c>
      <c r="C1060" s="2" t="s">
        <v>840</v>
      </c>
      <c r="D1060" s="32"/>
      <c r="E1060" s="35" t="s">
        <v>2386</v>
      </c>
    </row>
    <row r="1061" spans="1:5" x14ac:dyDescent="0.2">
      <c r="A1061" s="34" t="str">
        <f>HYPERLINK("http://www.daganm.co.il/sku/CABLE-5505-1.8","CABLE-5505-1.8")</f>
        <v>CABLE-5505-1.8</v>
      </c>
      <c r="B1061" t="s">
        <v>6</v>
      </c>
      <c r="C1061" s="2" t="s">
        <v>841</v>
      </c>
      <c r="D1061" s="32"/>
      <c r="E1061" s="35" t="s">
        <v>2387</v>
      </c>
    </row>
    <row r="1062" spans="1:5" x14ac:dyDescent="0.2">
      <c r="A1062" s="34" t="str">
        <f>HYPERLINK("http://www.daganm.co.il/sku/CABLE-5505-3.0","CABLE-5505-3.0")</f>
        <v>CABLE-5505-3.0</v>
      </c>
      <c r="B1062" t="s">
        <v>6</v>
      </c>
      <c r="C1062" s="2" t="s">
        <v>842</v>
      </c>
      <c r="D1062" s="32"/>
      <c r="E1062" s="35" t="s">
        <v>2388</v>
      </c>
    </row>
    <row r="1063" spans="1:5" x14ac:dyDescent="0.2">
      <c r="A1063" s="34" t="str">
        <f>HYPERLINK("http://www.daganm.co.il/sku/CABLE-5505-5.0","CABLE-5505-5.0")</f>
        <v>CABLE-5505-5.0</v>
      </c>
      <c r="B1063" t="s">
        <v>6</v>
      </c>
      <c r="C1063" s="2" t="s">
        <v>843</v>
      </c>
      <c r="D1063" s="32"/>
      <c r="E1063" s="35" t="s">
        <v>2389</v>
      </c>
    </row>
    <row r="1064" spans="1:5" x14ac:dyDescent="0.2">
      <c r="A1064" s="34" t="str">
        <f>HYPERLINK("http://www.daganm.co.il/sku/CABLE-5505-10","CABLE-5505-10")</f>
        <v>CABLE-5505-10</v>
      </c>
      <c r="B1064" t="s">
        <v>6</v>
      </c>
      <c r="C1064" s="2" t="s">
        <v>844</v>
      </c>
      <c r="D1064" s="32"/>
      <c r="E1064" s="35" t="s">
        <v>2390</v>
      </c>
    </row>
    <row r="1065" spans="1:5" x14ac:dyDescent="0.2">
      <c r="A1065" s="34" t="str">
        <f>HYPERLINK("http://www.daganm.co.il/sku/CABLE-5505LC-1.8","CABLE-5505LC-1.8")</f>
        <v>CABLE-5505LC-1.8</v>
      </c>
      <c r="B1065" t="s">
        <v>6</v>
      </c>
      <c r="C1065" s="2" t="s">
        <v>845</v>
      </c>
      <c r="D1065" s="32"/>
      <c r="E1065" s="35" t="s">
        <v>2391</v>
      </c>
    </row>
    <row r="1066" spans="1:5" x14ac:dyDescent="0.2">
      <c r="A1066" s="34" t="str">
        <f>HYPERLINK("http://www.daganm.co.il/sku/CABLE-5505M/0.5","CABLE-5505M/0.5")</f>
        <v>CABLE-5505M/0.5</v>
      </c>
      <c r="B1066" t="s">
        <v>6</v>
      </c>
      <c r="C1066" s="2" t="s">
        <v>846</v>
      </c>
      <c r="D1066" s="36"/>
      <c r="E1066" s="35" t="s">
        <v>2392</v>
      </c>
    </row>
    <row r="1067" spans="1:5" x14ac:dyDescent="0.2">
      <c r="A1067" s="34" t="str">
        <f>HYPERLINK("http://www.daganm.co.il/sku/CABLE-5505M/1","CABLE-5505M/1")</f>
        <v>CABLE-5505M/1</v>
      </c>
      <c r="B1067" t="s">
        <v>6</v>
      </c>
      <c r="C1067" s="2" t="s">
        <v>847</v>
      </c>
      <c r="D1067" s="32"/>
      <c r="E1067" s="35" t="s">
        <v>2393</v>
      </c>
    </row>
    <row r="1068" spans="1:5" x14ac:dyDescent="0.2">
      <c r="A1068" s="34" t="str">
        <f>HYPERLINK("http://www.daganm.co.il/sku/CABLE-5505M/2","CABLE-5505M/2")</f>
        <v>CABLE-5505M/2</v>
      </c>
      <c r="B1068" t="s">
        <v>6</v>
      </c>
      <c r="C1068" s="2" t="s">
        <v>848</v>
      </c>
      <c r="D1068" s="32"/>
      <c r="E1068" s="32" t="s">
        <v>2394</v>
      </c>
    </row>
    <row r="1069" spans="1:5" x14ac:dyDescent="0.2">
      <c r="A1069" s="34" t="str">
        <f>HYPERLINK("http://www.daganm.co.il/sku/CABLE-5593-0.5","CABLE-5593-0.5")</f>
        <v>CABLE-5593-0.5</v>
      </c>
      <c r="B1069" t="s">
        <v>6</v>
      </c>
      <c r="C1069" s="2" t="s">
        <v>849</v>
      </c>
      <c r="D1069" s="32"/>
      <c r="E1069" s="35" t="s">
        <v>2395</v>
      </c>
    </row>
    <row r="1070" spans="1:5" x14ac:dyDescent="0.2">
      <c r="A1070" s="34" t="str">
        <f>HYPERLINK("http://www.daganm.co.il/sku/CABLE-5593-1","CABLE-5593-1")</f>
        <v>CABLE-5593-1</v>
      </c>
      <c r="B1070" t="s">
        <v>6</v>
      </c>
      <c r="C1070" s="2" t="s">
        <v>850</v>
      </c>
      <c r="D1070" s="32"/>
      <c r="E1070" s="35" t="s">
        <v>2396</v>
      </c>
    </row>
    <row r="1071" spans="1:5" x14ac:dyDescent="0.2">
      <c r="A1071" s="34" t="str">
        <f>HYPERLINK("http://www.daganm.co.il/sku/CABLE-5593-2","CABLE-5593-2")</f>
        <v>CABLE-5593-2</v>
      </c>
      <c r="B1071" t="s">
        <v>6</v>
      </c>
      <c r="C1071" s="2" t="s">
        <v>851</v>
      </c>
      <c r="D1071" s="32"/>
      <c r="E1071" s="35" t="s">
        <v>2397</v>
      </c>
    </row>
    <row r="1072" spans="1:5" x14ac:dyDescent="0.2">
      <c r="A1072" s="34" t="str">
        <f>HYPERLINK("http://www.daganm.co.il/sku/CABLE-5505D-0.5","CABLE-5505D-0.5")</f>
        <v>CABLE-5505D-0.5</v>
      </c>
      <c r="B1072" t="s">
        <v>6</v>
      </c>
      <c r="C1072" s="2" t="s">
        <v>852</v>
      </c>
      <c r="D1072" s="32"/>
      <c r="E1072" s="35" t="s">
        <v>2398</v>
      </c>
    </row>
    <row r="1073" spans="1:5" x14ac:dyDescent="0.2">
      <c r="A1073" s="34" t="str">
        <f>HYPERLINK("http://www.daganm.co.il/sku/CABLE-5505D-1","CABLE-5505D-1")</f>
        <v>CABLE-5505D-1</v>
      </c>
      <c r="B1073" t="s">
        <v>6</v>
      </c>
      <c r="C1073" s="2" t="s">
        <v>853</v>
      </c>
      <c r="D1073" s="36"/>
      <c r="E1073" s="35" t="s">
        <v>2399</v>
      </c>
    </row>
    <row r="1074" spans="1:5" x14ac:dyDescent="0.2">
      <c r="A1074" s="34" t="str">
        <f>HYPERLINK("http://www.daganm.co.il/sku/CABLE-5505D-1.8","CABLE-5505D-1.8")</f>
        <v>CABLE-5505D-1.8</v>
      </c>
      <c r="B1074" t="s">
        <v>6</v>
      </c>
      <c r="C1074" s="2" t="s">
        <v>854</v>
      </c>
      <c r="D1074" s="32"/>
      <c r="E1074" s="35" t="s">
        <v>2400</v>
      </c>
    </row>
    <row r="1075" spans="1:5" x14ac:dyDescent="0.2">
      <c r="A1075" s="34" t="str">
        <f>HYPERLINK("http://www.daganm.co.il/sku/CABLE-5505D-3","CABLE-5505D-3")</f>
        <v>CABLE-5505D-3</v>
      </c>
      <c r="B1075" t="s">
        <v>6</v>
      </c>
      <c r="C1075" s="2" t="s">
        <v>855</v>
      </c>
      <c r="D1075" s="32"/>
      <c r="E1075" s="35" t="s">
        <v>2401</v>
      </c>
    </row>
    <row r="1076" spans="1:5" x14ac:dyDescent="0.2">
      <c r="A1076" s="34" t="str">
        <f>HYPERLINK("http://www.daganm.co.il/sku/VC-012G-0.15","VC-012G-0.15")</f>
        <v>VC-012G-0.15</v>
      </c>
      <c r="B1076" t="s">
        <v>6</v>
      </c>
      <c r="C1076" s="2" t="s">
        <v>856</v>
      </c>
      <c r="D1076" s="32"/>
      <c r="E1076" s="35" t="s">
        <v>2402</v>
      </c>
    </row>
    <row r="1077" spans="1:5" x14ac:dyDescent="0.2">
      <c r="A1077" s="34" t="str">
        <f>HYPERLINK("http://www.daganm.co.il/sku/VC-018-0.15","VC-018-0.15")</f>
        <v>VC-018-0.15</v>
      </c>
      <c r="B1077" t="s">
        <v>6</v>
      </c>
      <c r="C1077" s="2" t="s">
        <v>857</v>
      </c>
      <c r="D1077" s="32"/>
      <c r="E1077" s="35" t="s">
        <v>2403</v>
      </c>
    </row>
    <row r="1078" spans="1:5" x14ac:dyDescent="0.2">
      <c r="A1078" s="34" t="str">
        <f>HYPERLINK("http://www.daganm.co.il/sku/CABLE-556-1","CABLE-556-1")</f>
        <v>CABLE-556-1</v>
      </c>
      <c r="B1078" t="s">
        <v>6</v>
      </c>
      <c r="C1078" s="2" t="s">
        <v>858</v>
      </c>
      <c r="D1078" s="32">
        <v>45442</v>
      </c>
      <c r="E1078" s="35" t="s">
        <v>2404</v>
      </c>
    </row>
    <row r="1079" spans="1:5" x14ac:dyDescent="0.2">
      <c r="B1079"/>
      <c r="C1079" s="33" t="s">
        <v>45</v>
      </c>
      <c r="D1079" s="32"/>
      <c r="E1079" s="35"/>
    </row>
    <row r="1080" spans="1:5" x14ac:dyDescent="0.2">
      <c r="A1080" s="34" t="str">
        <f>HYPERLINK("http://www.daganm.co.il/sku/CABLE-5506-1.0","CABLE-5506-1.0")</f>
        <v>CABLE-5506-1.0</v>
      </c>
      <c r="B1080" t="s">
        <v>6</v>
      </c>
      <c r="C1080" s="2" t="s">
        <v>859</v>
      </c>
      <c r="D1080" s="32"/>
      <c r="E1080" s="35" t="s">
        <v>2405</v>
      </c>
    </row>
    <row r="1081" spans="1:5" x14ac:dyDescent="0.2">
      <c r="A1081" s="34" t="str">
        <f>HYPERLINK("http://www.daganm.co.il/sku/CABLE-5506/1.8","CABLE-5506/1.8")</f>
        <v>CABLE-5506/1.8</v>
      </c>
      <c r="B1081" t="s">
        <v>6</v>
      </c>
      <c r="C1081" s="2" t="s">
        <v>860</v>
      </c>
      <c r="D1081" s="32"/>
      <c r="E1081" s="35" t="s">
        <v>2406</v>
      </c>
    </row>
    <row r="1082" spans="1:5" x14ac:dyDescent="0.2">
      <c r="A1082" s="34" t="str">
        <f>HYPERLINK("http://www.daganm.co.il/sku/CABLE-5506/3","CABLE-5506/3")</f>
        <v>CABLE-5506/3</v>
      </c>
      <c r="B1082" t="s">
        <v>6</v>
      </c>
      <c r="C1082" s="2" t="s">
        <v>861</v>
      </c>
      <c r="D1082" s="32"/>
      <c r="E1082" s="35" t="s">
        <v>2407</v>
      </c>
    </row>
    <row r="1083" spans="1:5" x14ac:dyDescent="0.2">
      <c r="A1083" s="34" t="str">
        <f>HYPERLINK("http://www.daganm.co.il/sku/CABLE-5506/5","CABLE-5506/5")</f>
        <v>CABLE-5506/5</v>
      </c>
      <c r="B1083" t="s">
        <v>6</v>
      </c>
      <c r="C1083" s="2" t="s">
        <v>862</v>
      </c>
      <c r="D1083" s="32"/>
      <c r="E1083" s="35" t="s">
        <v>2408</v>
      </c>
    </row>
    <row r="1084" spans="1:5" x14ac:dyDescent="0.2">
      <c r="A1084" s="34" t="str">
        <f>HYPERLINK("http://www.daganm.co.il/sku/CABLE-5506/10","CABLE-5506/10")</f>
        <v>CABLE-5506/10</v>
      </c>
      <c r="B1084" t="s">
        <v>6</v>
      </c>
      <c r="C1084" s="2" t="s">
        <v>863</v>
      </c>
      <c r="D1084" s="32"/>
      <c r="E1084" s="35" t="s">
        <v>2409</v>
      </c>
    </row>
    <row r="1085" spans="1:5" x14ac:dyDescent="0.2">
      <c r="A1085" s="34" t="str">
        <f>HYPERLINK("http://www.daganm.co.il/sku/CABLE-5506LC/1.8","CABLE-5506LC/1.8")</f>
        <v>CABLE-5506LC/1.8</v>
      </c>
      <c r="B1085" t="s">
        <v>6</v>
      </c>
      <c r="C1085" s="2" t="s">
        <v>864</v>
      </c>
      <c r="D1085" s="32"/>
      <c r="E1085" s="35" t="s">
        <v>2410</v>
      </c>
    </row>
    <row r="1086" spans="1:5" x14ac:dyDescent="0.2">
      <c r="A1086" s="34" t="str">
        <f>HYPERLINK("http://www.daganm.co.il/sku/CABLE-5506M/0.5","CABLE-5506M/0.5")</f>
        <v>CABLE-5506M/0.5</v>
      </c>
      <c r="B1086" t="s">
        <v>6</v>
      </c>
      <c r="C1086" s="2" t="s">
        <v>865</v>
      </c>
      <c r="D1086" s="32"/>
      <c r="E1086" s="35" t="s">
        <v>2411</v>
      </c>
    </row>
    <row r="1087" spans="1:5" x14ac:dyDescent="0.2">
      <c r="A1087" s="34" t="str">
        <f>HYPERLINK("http://www.daganm.co.il/sku/CABLE-5506M/1","CABLE-5506M/1")</f>
        <v>CABLE-5506M/1</v>
      </c>
      <c r="B1087" t="s">
        <v>6</v>
      </c>
      <c r="C1087" s="2" t="s">
        <v>866</v>
      </c>
      <c r="D1087" s="32"/>
      <c r="E1087" s="32" t="s">
        <v>2412</v>
      </c>
    </row>
    <row r="1088" spans="1:5" x14ac:dyDescent="0.2">
      <c r="A1088" s="34" t="str">
        <f>HYPERLINK("http://www.daganm.co.il/sku/CABLE-5506M/2","CABLE-5506M/2")</f>
        <v>CABLE-5506M/2</v>
      </c>
      <c r="B1088" t="s">
        <v>6</v>
      </c>
      <c r="C1088" s="2" t="s">
        <v>867</v>
      </c>
      <c r="D1088" s="36"/>
      <c r="E1088" s="35" t="s">
        <v>2413</v>
      </c>
    </row>
    <row r="1089" spans="1:5" x14ac:dyDescent="0.2">
      <c r="A1089" s="34" t="str">
        <f>HYPERLINK("http://www.daganm.co.il/sku/CABLE-5594-0.5","CABLE-5594-0.5")</f>
        <v>CABLE-5594-0.5</v>
      </c>
      <c r="B1089" t="s">
        <v>6</v>
      </c>
      <c r="C1089" s="2" t="s">
        <v>868</v>
      </c>
      <c r="D1089" s="32"/>
      <c r="E1089" s="35" t="s">
        <v>2414</v>
      </c>
    </row>
    <row r="1090" spans="1:5" x14ac:dyDescent="0.2">
      <c r="A1090" s="34" t="str">
        <f>HYPERLINK("http://www.daganm.co.il/sku/CABLE-5594-1","CABLE-5594-1")</f>
        <v>CABLE-5594-1</v>
      </c>
      <c r="B1090" t="s">
        <v>6</v>
      </c>
      <c r="C1090" s="2" t="s">
        <v>869</v>
      </c>
      <c r="D1090" s="32"/>
      <c r="E1090" s="35" t="s">
        <v>2415</v>
      </c>
    </row>
    <row r="1091" spans="1:5" x14ac:dyDescent="0.2">
      <c r="A1091" s="34" t="str">
        <f>HYPERLINK("http://www.daganm.co.il/sku/CABLE-5594-2","CABLE-5594-2")</f>
        <v>CABLE-5594-2</v>
      </c>
      <c r="B1091" t="s">
        <v>6</v>
      </c>
      <c r="C1091" s="2" t="s">
        <v>870</v>
      </c>
      <c r="D1091" s="32"/>
      <c r="E1091" s="35" t="s">
        <v>2416</v>
      </c>
    </row>
    <row r="1092" spans="1:5" x14ac:dyDescent="0.2">
      <c r="A1092" s="37" t="str">
        <f>HYPERLINK("http://www.daganm.co.il/sku/CABLE-5594-3","CABLE-5594-3")</f>
        <v>CABLE-5594-3</v>
      </c>
      <c r="B1092" t="s">
        <v>6</v>
      </c>
      <c r="C1092" s="2" t="s">
        <v>4132</v>
      </c>
      <c r="D1092" s="32"/>
      <c r="E1092" s="35" t="s">
        <v>4269</v>
      </c>
    </row>
    <row r="1093" spans="1:5" x14ac:dyDescent="0.2">
      <c r="A1093" s="34" t="str">
        <f>HYPERLINK("http://www.daganm.co.il/sku/CABLE-5506D-1.8","CABLE-5506D-1.8")</f>
        <v>CABLE-5506D-1.8</v>
      </c>
      <c r="B1093" t="s">
        <v>6</v>
      </c>
      <c r="C1093" s="2" t="s">
        <v>871</v>
      </c>
      <c r="D1093" s="36"/>
      <c r="E1093" s="35" t="s">
        <v>2417</v>
      </c>
    </row>
    <row r="1094" spans="1:5" x14ac:dyDescent="0.2">
      <c r="A1094" s="34" t="str">
        <f>HYPERLINK("http://www.daganm.co.il/sku/VC-017G-0.15","VC-017G-0.15")</f>
        <v>VC-017G-0.15</v>
      </c>
      <c r="B1094" t="s">
        <v>6</v>
      </c>
      <c r="C1094" s="2" t="s">
        <v>872</v>
      </c>
      <c r="D1094" s="32"/>
      <c r="E1094" s="35" t="s">
        <v>2418</v>
      </c>
    </row>
    <row r="1095" spans="1:5" x14ac:dyDescent="0.2">
      <c r="A1095" s="34" t="str">
        <f>HYPERLINK("http://www.daganm.co.il/sku/VC-019-0.15","VC-019-0.15")</f>
        <v>VC-019-0.15</v>
      </c>
      <c r="B1095" t="s">
        <v>6</v>
      </c>
      <c r="C1095" s="2" t="s">
        <v>873</v>
      </c>
      <c r="D1095" s="32"/>
      <c r="E1095" s="35" t="s">
        <v>2419</v>
      </c>
    </row>
    <row r="1096" spans="1:5" x14ac:dyDescent="0.2">
      <c r="A1096" s="34" t="str">
        <f>HYPERLINK("http://www.daganm.co.il/sku/CABLE-556MC-1","CABLE-556MC-1")</f>
        <v>CABLE-556MC-1</v>
      </c>
      <c r="B1096" t="s">
        <v>6</v>
      </c>
      <c r="C1096" s="2" t="s">
        <v>874</v>
      </c>
      <c r="D1096" s="32"/>
      <c r="E1096" s="35" t="s">
        <v>2420</v>
      </c>
    </row>
    <row r="1097" spans="1:5" x14ac:dyDescent="0.2">
      <c r="B1097"/>
      <c r="C1097" s="33" t="s">
        <v>46</v>
      </c>
      <c r="D1097" s="32"/>
      <c r="E1097" s="35"/>
    </row>
    <row r="1098" spans="1:5" x14ac:dyDescent="0.2">
      <c r="A1098" s="34" t="str">
        <f>HYPERLINK("http://www.daganm.co.il/sku/CABLE-193/0.5","CABLE-193/0.5")</f>
        <v>CABLE-193/0.5</v>
      </c>
      <c r="B1098" t="s">
        <v>6</v>
      </c>
      <c r="C1098" s="2" t="s">
        <v>875</v>
      </c>
      <c r="D1098" s="32"/>
      <c r="E1098" s="35" t="s">
        <v>2421</v>
      </c>
    </row>
    <row r="1099" spans="1:5" x14ac:dyDescent="0.2">
      <c r="A1099" s="34" t="str">
        <f>HYPERLINK("http://www.daganm.co.il/sku/CABLE-193/1","CABLE-193/1")</f>
        <v>CABLE-193/1</v>
      </c>
      <c r="B1099" t="s">
        <v>6</v>
      </c>
      <c r="C1099" s="2" t="s">
        <v>876</v>
      </c>
      <c r="D1099" s="32"/>
      <c r="E1099" s="35" t="s">
        <v>2422</v>
      </c>
    </row>
    <row r="1100" spans="1:5" x14ac:dyDescent="0.2">
      <c r="A1100" s="34" t="str">
        <f>HYPERLINK("http://www.daganm.co.il/sku/CABLE-193","CABLE-193")</f>
        <v>CABLE-193</v>
      </c>
      <c r="B1100" t="s">
        <v>6</v>
      </c>
      <c r="C1100" s="2" t="s">
        <v>877</v>
      </c>
      <c r="D1100" s="32"/>
      <c r="E1100" s="35" t="s">
        <v>2423</v>
      </c>
    </row>
    <row r="1101" spans="1:5" x14ac:dyDescent="0.2">
      <c r="A1101" s="34" t="str">
        <f>HYPERLINK("http://www.daganm.co.il/sku/CABLE-193/3","CABLE-193/3")</f>
        <v>CABLE-193/3</v>
      </c>
      <c r="B1101" t="s">
        <v>6</v>
      </c>
      <c r="C1101" s="2" t="s">
        <v>878</v>
      </c>
      <c r="D1101" s="32"/>
      <c r="E1101" s="35" t="s">
        <v>2424</v>
      </c>
    </row>
    <row r="1102" spans="1:5" x14ac:dyDescent="0.2">
      <c r="A1102" s="34" t="str">
        <f>HYPERLINK("http://www.daganm.co.il/sku/CABLE-193/5","CABLE-193/5")</f>
        <v>CABLE-193/5</v>
      </c>
      <c r="B1102" t="s">
        <v>6</v>
      </c>
      <c r="C1102" s="2" t="s">
        <v>879</v>
      </c>
      <c r="D1102" s="32"/>
      <c r="E1102" s="35" t="s">
        <v>2425</v>
      </c>
    </row>
    <row r="1103" spans="1:5" x14ac:dyDescent="0.2">
      <c r="A1103" s="34" t="str">
        <f>HYPERLINK("http://www.daganm.co.il/sku/CABLE-193/7.5","CABLE-193/7.5")</f>
        <v>CABLE-193/7.5</v>
      </c>
      <c r="B1103" t="s">
        <v>6</v>
      </c>
      <c r="C1103" s="2" t="s">
        <v>880</v>
      </c>
      <c r="D1103" s="32"/>
      <c r="E1103" s="35" t="s">
        <v>2426</v>
      </c>
    </row>
    <row r="1104" spans="1:5" x14ac:dyDescent="0.2">
      <c r="A1104" s="34" t="str">
        <f>HYPERLINK("http://www.daganm.co.il/sku/CABLE-193/10","CABLE-193/10")</f>
        <v>CABLE-193/10</v>
      </c>
      <c r="B1104" t="s">
        <v>6</v>
      </c>
      <c r="C1104" s="2" t="s">
        <v>881</v>
      </c>
      <c r="D1104" s="32"/>
      <c r="E1104" s="32" t="s">
        <v>2427</v>
      </c>
    </row>
    <row r="1105" spans="1:5" x14ac:dyDescent="0.2">
      <c r="A1105" s="34" t="str">
        <f>HYPERLINK("http://www.daganm.co.il/sku/CABLE-193/15","CABLE-193/15")</f>
        <v>CABLE-193/15</v>
      </c>
      <c r="B1105" t="s">
        <v>6</v>
      </c>
      <c r="C1105" s="2" t="s">
        <v>882</v>
      </c>
      <c r="D1105" s="32">
        <v>45442</v>
      </c>
      <c r="E1105" s="35" t="s">
        <v>2428</v>
      </c>
    </row>
    <row r="1106" spans="1:5" x14ac:dyDescent="0.2">
      <c r="A1106" s="34" t="str">
        <f>HYPERLINK("http://www.daganm.co.il/sku/CABLE-193LC","CABLE-193LC")</f>
        <v>CABLE-193LC</v>
      </c>
      <c r="B1106" t="s">
        <v>6</v>
      </c>
      <c r="C1106" s="2" t="s">
        <v>883</v>
      </c>
      <c r="D1106" s="32"/>
      <c r="E1106" s="35" t="s">
        <v>2429</v>
      </c>
    </row>
    <row r="1107" spans="1:5" x14ac:dyDescent="0.2">
      <c r="A1107" s="34" t="str">
        <f>HYPERLINK("http://www.daganm.co.il/sku/CABLE-193LC/3","CABLE-193LC/3")</f>
        <v>CABLE-193LC/3</v>
      </c>
      <c r="B1107" t="s">
        <v>6</v>
      </c>
      <c r="C1107" s="2" t="s">
        <v>884</v>
      </c>
      <c r="D1107" s="32"/>
      <c r="E1107" s="35" t="s">
        <v>2430</v>
      </c>
    </row>
    <row r="1108" spans="1:5" x14ac:dyDescent="0.2">
      <c r="A1108" s="34" t="str">
        <f>HYPERLINK("http://www.daganm.co.il/sku/CABLE-193LC/5","CABLE-193LC/5")</f>
        <v>CABLE-193LC/5</v>
      </c>
      <c r="B1108" t="s">
        <v>6</v>
      </c>
      <c r="C1108" s="2" t="s">
        <v>885</v>
      </c>
      <c r="D1108" s="32"/>
      <c r="E1108" s="35" t="s">
        <v>2431</v>
      </c>
    </row>
    <row r="1109" spans="1:5" x14ac:dyDescent="0.2">
      <c r="A1109" s="34" t="str">
        <f>HYPERLINK("http://www.daganm.co.il/sku/CABLE-193SL","CABLE-193SL")</f>
        <v>CABLE-193SL</v>
      </c>
      <c r="B1109" t="s">
        <v>6</v>
      </c>
      <c r="C1109" s="2" t="s">
        <v>886</v>
      </c>
      <c r="D1109" s="32"/>
      <c r="E1109" s="35" t="s">
        <v>2432</v>
      </c>
    </row>
    <row r="1110" spans="1:5" x14ac:dyDescent="0.2">
      <c r="A1110" s="34" t="str">
        <f>HYPERLINK("http://www.daganm.co.il/sku/CABLE-193HQ/1.8","CABLE-193HQ/1.8")</f>
        <v>CABLE-193HQ/1.8</v>
      </c>
      <c r="B1110" t="s">
        <v>6</v>
      </c>
      <c r="C1110" s="2" t="s">
        <v>887</v>
      </c>
      <c r="D1110" s="32"/>
      <c r="E1110" s="32" t="s">
        <v>2433</v>
      </c>
    </row>
    <row r="1111" spans="1:5" x14ac:dyDescent="0.2">
      <c r="A1111" s="34" t="str">
        <f>HYPERLINK("http://www.daganm.co.il/sku/CABLE-193HQ/3","CABLE-193HQ/3")</f>
        <v>CABLE-193HQ/3</v>
      </c>
      <c r="B1111" t="s">
        <v>6</v>
      </c>
      <c r="C1111" s="2" t="s">
        <v>888</v>
      </c>
      <c r="D1111" s="32"/>
      <c r="E1111" s="32" t="s">
        <v>2434</v>
      </c>
    </row>
    <row r="1112" spans="1:5" x14ac:dyDescent="0.2">
      <c r="A1112" s="34" t="str">
        <f>HYPERLINK("http://www.daganm.co.il/sku/CABLE-193EX/1.8","CABLE-193EX/1.8")</f>
        <v>CABLE-193EX/1.8</v>
      </c>
      <c r="B1112" t="s">
        <v>6</v>
      </c>
      <c r="C1112" s="2" t="s">
        <v>889</v>
      </c>
      <c r="D1112" s="32"/>
      <c r="E1112" s="35" t="s">
        <v>2435</v>
      </c>
    </row>
    <row r="1113" spans="1:5" x14ac:dyDescent="0.2">
      <c r="A1113" s="34" t="str">
        <f>HYPERLINK("http://www.daganm.co.il/sku/CABLE-193EX/3","CABLE-193EX/3")</f>
        <v>CABLE-193EX/3</v>
      </c>
      <c r="B1113" t="s">
        <v>6</v>
      </c>
      <c r="C1113" s="2" t="s">
        <v>890</v>
      </c>
      <c r="D1113" s="32"/>
      <c r="E1113" s="35" t="s">
        <v>2436</v>
      </c>
    </row>
    <row r="1114" spans="1:5" x14ac:dyDescent="0.2">
      <c r="A1114" s="34" t="str">
        <f>HYPERLINK("http://www.daganm.co.il/sku/CABLE-195H/1.8","CABLE-195H/1.8")</f>
        <v>CABLE-195H/1.8</v>
      </c>
      <c r="B1114" t="s">
        <v>6</v>
      </c>
      <c r="C1114" s="2" t="s">
        <v>891</v>
      </c>
      <c r="D1114" s="32"/>
      <c r="E1114" s="35" t="s">
        <v>2437</v>
      </c>
    </row>
    <row r="1115" spans="1:5" x14ac:dyDescent="0.2">
      <c r="A1115" s="34" t="str">
        <f>HYPERLINK("http://www.daganm.co.il/sku/CABLE-1710","CABLE-1710")</f>
        <v>CABLE-1710</v>
      </c>
      <c r="B1115" t="s">
        <v>6</v>
      </c>
      <c r="C1115" s="2" t="s">
        <v>3318</v>
      </c>
      <c r="D1115" s="32"/>
      <c r="E1115" s="35" t="s">
        <v>2438</v>
      </c>
    </row>
    <row r="1116" spans="1:5" x14ac:dyDescent="0.2">
      <c r="B1116"/>
      <c r="C1116" s="33" t="s">
        <v>47</v>
      </c>
      <c r="D1116" s="32"/>
      <c r="E1116" s="35"/>
    </row>
    <row r="1117" spans="1:5" x14ac:dyDescent="0.2">
      <c r="A1117" s="34" t="str">
        <f>HYPERLINK("http://www.daganm.co.il/sku/CABLE-177DK","CABLE-177DK")</f>
        <v>CABLE-177DK</v>
      </c>
      <c r="B1117" t="s">
        <v>6</v>
      </c>
      <c r="C1117" s="2" t="s">
        <v>892</v>
      </c>
      <c r="D1117" s="32"/>
      <c r="E1117" s="35" t="s">
        <v>2439</v>
      </c>
    </row>
    <row r="1118" spans="1:5" x14ac:dyDescent="0.2">
      <c r="A1118" s="34" t="str">
        <f>HYPERLINK("http://www.daganm.co.il/sku/CABLE-177DK/3","CABLE-177DK/3")</f>
        <v>CABLE-177DK/3</v>
      </c>
      <c r="B1118" t="s">
        <v>6</v>
      </c>
      <c r="C1118" s="2" t="s">
        <v>893</v>
      </c>
      <c r="D1118" s="32"/>
      <c r="E1118" s="35" t="s">
        <v>2440</v>
      </c>
    </row>
    <row r="1119" spans="1:5" x14ac:dyDescent="0.2">
      <c r="A1119" s="34" t="str">
        <f>HYPERLINK("http://www.daganm.co.il/sku/CABLE-177/0.5","CABLE-177/0.5")</f>
        <v>CABLE-177/0.5</v>
      </c>
      <c r="B1119" t="s">
        <v>6</v>
      </c>
      <c r="C1119" s="2" t="s">
        <v>894</v>
      </c>
      <c r="D1119" s="32"/>
      <c r="E1119" s="35" t="s">
        <v>2441</v>
      </c>
    </row>
    <row r="1120" spans="1:5" x14ac:dyDescent="0.2">
      <c r="A1120" s="34" t="str">
        <f>HYPERLINK("http://www.daganm.co.il/sku/CABLE-177/1","CABLE-177/1")</f>
        <v>CABLE-177/1</v>
      </c>
      <c r="B1120" t="s">
        <v>6</v>
      </c>
      <c r="C1120" s="2" t="s">
        <v>895</v>
      </c>
      <c r="D1120" s="32"/>
      <c r="E1120" s="35" t="s">
        <v>2442</v>
      </c>
    </row>
    <row r="1121" spans="1:5" x14ac:dyDescent="0.2">
      <c r="A1121" s="34" t="str">
        <f>HYPERLINK("http://www.daganm.co.il/sku/CABLE-177","CABLE-177")</f>
        <v>CABLE-177</v>
      </c>
      <c r="B1121" t="s">
        <v>6</v>
      </c>
      <c r="C1121" s="2" t="s">
        <v>896</v>
      </c>
      <c r="D1121" s="36"/>
      <c r="E1121" s="35" t="s">
        <v>2443</v>
      </c>
    </row>
    <row r="1122" spans="1:5" x14ac:dyDescent="0.2">
      <c r="A1122" s="34" t="str">
        <f>HYPERLINK("http://www.daganm.co.il/sku/CABLE-177/3","CABLE-177/3")</f>
        <v>CABLE-177/3</v>
      </c>
      <c r="B1122" t="s">
        <v>6</v>
      </c>
      <c r="C1122" s="2" t="s">
        <v>897</v>
      </c>
      <c r="D1122" s="32"/>
      <c r="E1122" s="35" t="s">
        <v>2444</v>
      </c>
    </row>
    <row r="1123" spans="1:5" x14ac:dyDescent="0.2">
      <c r="A1123" s="34" t="str">
        <f>HYPERLINK("http://www.daganm.co.il/sku/CABLE-177/5","CABLE-177/5")</f>
        <v>CABLE-177/5</v>
      </c>
      <c r="B1123" t="s">
        <v>6</v>
      </c>
      <c r="C1123" s="2" t="s">
        <v>898</v>
      </c>
      <c r="D1123" s="32"/>
      <c r="E1123" s="35" t="s">
        <v>2445</v>
      </c>
    </row>
    <row r="1124" spans="1:5" x14ac:dyDescent="0.2">
      <c r="A1124" s="34" t="str">
        <f>HYPERLINK("http://www.daganm.co.il/sku/CABLE-177/7.5","CABLE-177/7.5")</f>
        <v>CABLE-177/7.5</v>
      </c>
      <c r="B1124" t="s">
        <v>6</v>
      </c>
      <c r="C1124" s="2" t="s">
        <v>899</v>
      </c>
      <c r="D1124" s="36"/>
      <c r="E1124" s="35" t="s">
        <v>2446</v>
      </c>
    </row>
    <row r="1125" spans="1:5" x14ac:dyDescent="0.2">
      <c r="A1125" s="34" t="str">
        <f>HYPERLINK("http://www.daganm.co.il/sku/CABLE-177/10","CABLE-177/10")</f>
        <v>CABLE-177/10</v>
      </c>
      <c r="B1125" t="s">
        <v>6</v>
      </c>
      <c r="C1125" s="2" t="s">
        <v>900</v>
      </c>
      <c r="D1125" s="32"/>
      <c r="E1125" s="35" t="s">
        <v>2447</v>
      </c>
    </row>
    <row r="1126" spans="1:5" x14ac:dyDescent="0.2">
      <c r="A1126" s="34" t="str">
        <f>HYPERLINK("http://www.daganm.co.il/sku/CABLE-177/15","CABLE-177/15")</f>
        <v>CABLE-177/15</v>
      </c>
      <c r="B1126" t="s">
        <v>6</v>
      </c>
      <c r="C1126" s="2" t="s">
        <v>901</v>
      </c>
      <c r="D1126" s="32">
        <v>45442</v>
      </c>
      <c r="E1126" s="35" t="s">
        <v>2448</v>
      </c>
    </row>
    <row r="1127" spans="1:5" x14ac:dyDescent="0.2">
      <c r="A1127" s="34" t="str">
        <f>HYPERLINK("http://www.daganm.co.il/sku/CABLE-177/20","CABLE-177/20")</f>
        <v>CABLE-177/20</v>
      </c>
      <c r="B1127" t="s">
        <v>6</v>
      </c>
      <c r="C1127" s="2" t="s">
        <v>902</v>
      </c>
      <c r="D1127" s="32"/>
      <c r="E1127" s="35" t="s">
        <v>2449</v>
      </c>
    </row>
    <row r="1128" spans="1:5" x14ac:dyDescent="0.2">
      <c r="A1128" s="34" t="str">
        <f>HYPERLINK("http://www.daganm.co.il/sku/CABLE-178/0.5","CABLE-178/0.5")</f>
        <v>CABLE-178/0.5</v>
      </c>
      <c r="B1128" t="s">
        <v>6</v>
      </c>
      <c r="C1128" s="2" t="s">
        <v>903</v>
      </c>
      <c r="D1128" s="32"/>
      <c r="E1128" s="35" t="s">
        <v>2450</v>
      </c>
    </row>
    <row r="1129" spans="1:5" x14ac:dyDescent="0.2">
      <c r="A1129" s="34" t="str">
        <f>HYPERLINK("http://www.daganm.co.il/sku/CABLE-178","CABLE-178")</f>
        <v>CABLE-178</v>
      </c>
      <c r="B1129" t="s">
        <v>6</v>
      </c>
      <c r="C1129" s="2" t="s">
        <v>904</v>
      </c>
      <c r="D1129" s="32"/>
      <c r="E1129" s="35" t="s">
        <v>2451</v>
      </c>
    </row>
    <row r="1130" spans="1:5" x14ac:dyDescent="0.2">
      <c r="A1130" s="34" t="str">
        <f>HYPERLINK("http://www.daganm.co.il/sku/CABLE-178/3","CABLE-178/3")</f>
        <v>CABLE-178/3</v>
      </c>
      <c r="B1130" t="s">
        <v>6</v>
      </c>
      <c r="C1130" s="2" t="s">
        <v>3319</v>
      </c>
      <c r="D1130" s="36"/>
      <c r="E1130" s="35" t="s">
        <v>3452</v>
      </c>
    </row>
    <row r="1131" spans="1:5" x14ac:dyDescent="0.2">
      <c r="A1131" s="34" t="str">
        <f>HYPERLINK("http://www.daganm.co.il/sku/CABLE-178/20","CABLE-178/20")</f>
        <v>CABLE-178/20</v>
      </c>
      <c r="B1131" t="s">
        <v>6</v>
      </c>
      <c r="C1131" s="2" t="s">
        <v>905</v>
      </c>
      <c r="D1131" s="32"/>
      <c r="E1131" s="35" t="s">
        <v>2452</v>
      </c>
    </row>
    <row r="1132" spans="1:5" x14ac:dyDescent="0.2">
      <c r="B1132"/>
      <c r="C1132" s="33" t="s">
        <v>48</v>
      </c>
      <c r="D1132" s="32"/>
      <c r="E1132" s="35"/>
    </row>
    <row r="1133" spans="1:5" x14ac:dyDescent="0.2">
      <c r="A1133" s="34" t="str">
        <f>HYPERLINK("http://www.daganm.co.il/sku/CABLE-560","CABLE-560")</f>
        <v>CABLE-560</v>
      </c>
      <c r="B1133" t="s">
        <v>6</v>
      </c>
      <c r="C1133" s="2" t="s">
        <v>906</v>
      </c>
      <c r="D1133" s="32"/>
      <c r="E1133" s="35" t="s">
        <v>2453</v>
      </c>
    </row>
    <row r="1134" spans="1:5" x14ac:dyDescent="0.2">
      <c r="A1134" s="34" t="str">
        <f>HYPERLINK("http://www.daganm.co.il/sku/CABLE-560LC","CABLE-560LC")</f>
        <v>CABLE-560LC</v>
      </c>
      <c r="B1134" t="s">
        <v>6</v>
      </c>
      <c r="C1134" s="2" t="s">
        <v>907</v>
      </c>
      <c r="D1134" s="32"/>
      <c r="E1134" s="35" t="s">
        <v>2454</v>
      </c>
    </row>
    <row r="1135" spans="1:5" x14ac:dyDescent="0.2">
      <c r="A1135" s="34" t="str">
        <f>HYPERLINK("http://www.daganm.co.il/sku/CABLE-561","CABLE-561")</f>
        <v>CABLE-561</v>
      </c>
      <c r="B1135" t="s">
        <v>6</v>
      </c>
      <c r="C1135" s="2" t="s">
        <v>908</v>
      </c>
      <c r="D1135" s="32"/>
      <c r="E1135" s="35" t="s">
        <v>2455</v>
      </c>
    </row>
    <row r="1136" spans="1:5" x14ac:dyDescent="0.2">
      <c r="A1136" s="34" t="str">
        <f>HYPERLINK("http://www.daganm.co.il/sku/CABLE-567T","CABLE-567T")</f>
        <v>CABLE-567T</v>
      </c>
      <c r="B1136" t="s">
        <v>6</v>
      </c>
      <c r="C1136" s="2" t="s">
        <v>909</v>
      </c>
      <c r="D1136" s="32"/>
      <c r="E1136" s="35" t="s">
        <v>2456</v>
      </c>
    </row>
    <row r="1137" spans="1:5" x14ac:dyDescent="0.2">
      <c r="A1137" s="34" t="str">
        <f>HYPERLINK("http://www.daganm.co.il/sku/CABLE-563","CABLE-563")</f>
        <v>CABLE-563</v>
      </c>
      <c r="B1137" t="s">
        <v>6</v>
      </c>
      <c r="C1137" s="2" t="s">
        <v>910</v>
      </c>
      <c r="D1137" s="32"/>
      <c r="E1137" s="35" t="s">
        <v>2457</v>
      </c>
    </row>
    <row r="1138" spans="1:5" ht="16.5" x14ac:dyDescent="0.25">
      <c r="B1138"/>
      <c r="C1138" s="31" t="s">
        <v>49</v>
      </c>
      <c r="D1138" s="32"/>
      <c r="E1138" s="35"/>
    </row>
    <row r="1139" spans="1:5" x14ac:dyDescent="0.2">
      <c r="B1139"/>
      <c r="C1139" s="33" t="s">
        <v>50</v>
      </c>
      <c r="D1139" s="32"/>
      <c r="E1139" s="35"/>
    </row>
    <row r="1140" spans="1:5" x14ac:dyDescent="0.2">
      <c r="A1140" s="34" t="str">
        <f>HYPERLINK("http://www.daganm.co.il/sku/CABLE-570K-0.5","CABLE-570K-0.5")</f>
        <v>CABLE-570K-0.5</v>
      </c>
      <c r="B1140" t="s">
        <v>6</v>
      </c>
      <c r="C1140" s="2" t="s">
        <v>3320</v>
      </c>
      <c r="D1140" s="32"/>
      <c r="E1140" s="35" t="s">
        <v>3453</v>
      </c>
    </row>
    <row r="1141" spans="1:5" x14ac:dyDescent="0.2">
      <c r="A1141" s="34" t="str">
        <f>HYPERLINK("http://www.daganm.co.il/sku/CABLE-570K-1","CABLE-570K-1")</f>
        <v>CABLE-570K-1</v>
      </c>
      <c r="B1141" t="s">
        <v>6</v>
      </c>
      <c r="C1141" s="2" t="s">
        <v>911</v>
      </c>
      <c r="D1141" s="32"/>
      <c r="E1141" s="35" t="s">
        <v>2458</v>
      </c>
    </row>
    <row r="1142" spans="1:5" x14ac:dyDescent="0.2">
      <c r="A1142" s="34" t="str">
        <f>HYPERLINK("http://www.daganm.co.il/sku/CABLE-570K-1.8","CABLE-570K-1.8")</f>
        <v>CABLE-570K-1.8</v>
      </c>
      <c r="B1142" t="s">
        <v>6</v>
      </c>
      <c r="C1142" s="2" t="s">
        <v>912</v>
      </c>
      <c r="D1142" s="32"/>
      <c r="E1142" s="35" t="s">
        <v>2459</v>
      </c>
    </row>
    <row r="1143" spans="1:5" x14ac:dyDescent="0.2">
      <c r="A1143" s="34" t="str">
        <f>HYPERLINK("http://www.daganm.co.il/sku/CABLE-570K-3","CABLE-570K-3")</f>
        <v>CABLE-570K-3</v>
      </c>
      <c r="B1143" t="s">
        <v>6</v>
      </c>
      <c r="C1143" s="2" t="s">
        <v>913</v>
      </c>
      <c r="D1143" s="32"/>
      <c r="E1143" s="35" t="s">
        <v>2460</v>
      </c>
    </row>
    <row r="1144" spans="1:5" x14ac:dyDescent="0.2">
      <c r="A1144" s="34" t="str">
        <f>HYPERLINK("http://www.daganm.co.il/sku/CABLE-570K-5","CABLE-570K-5")</f>
        <v>CABLE-570K-5</v>
      </c>
      <c r="B1144" t="s">
        <v>6</v>
      </c>
      <c r="C1144" s="2" t="s">
        <v>914</v>
      </c>
      <c r="D1144" s="32"/>
      <c r="E1144" s="35" t="s">
        <v>2461</v>
      </c>
    </row>
    <row r="1145" spans="1:5" x14ac:dyDescent="0.2">
      <c r="A1145" s="37" t="str">
        <f>HYPERLINK("http://www.daganm.co.il/sku/CBL570KP-7.5","CBL570KP-7.5")</f>
        <v>CBL570KP-7.5</v>
      </c>
      <c r="B1145" t="s">
        <v>6</v>
      </c>
      <c r="C1145" s="2" t="s">
        <v>3321</v>
      </c>
      <c r="D1145" s="32"/>
      <c r="E1145" s="35" t="s">
        <v>4270</v>
      </c>
    </row>
    <row r="1146" spans="1:5" x14ac:dyDescent="0.2">
      <c r="A1146" s="34" t="str">
        <f>HYPERLINK("http://www.daganm.co.il/sku/CABLE-570K-10","CABLE-570K-10")</f>
        <v>CABLE-570K-10</v>
      </c>
      <c r="B1146" t="s">
        <v>6</v>
      </c>
      <c r="C1146" s="2" t="s">
        <v>3322</v>
      </c>
      <c r="D1146" s="32"/>
      <c r="E1146" s="35" t="s">
        <v>3454</v>
      </c>
    </row>
    <row r="1147" spans="1:5" x14ac:dyDescent="0.2">
      <c r="A1147" s="37" t="str">
        <f>HYPERLINK("http://www.daganm.co.il/sku/CBL570KP-15","CBL570KP-15")</f>
        <v>CBL570KP-15</v>
      </c>
      <c r="B1147" t="s">
        <v>6</v>
      </c>
      <c r="C1147" s="2" t="s">
        <v>4133</v>
      </c>
      <c r="D1147" s="32"/>
      <c r="E1147" s="35" t="s">
        <v>4271</v>
      </c>
    </row>
    <row r="1148" spans="1:5" x14ac:dyDescent="0.2">
      <c r="A1148" s="34" t="str">
        <f>HYPERLINK("http://www.daganm.co.il/sku/CBL574-1","CBL574-1")</f>
        <v>CBL574-1</v>
      </c>
      <c r="B1148" t="s">
        <v>6</v>
      </c>
      <c r="C1148" s="2" t="s">
        <v>3794</v>
      </c>
      <c r="D1148" s="32"/>
      <c r="E1148" s="35" t="s">
        <v>4004</v>
      </c>
    </row>
    <row r="1149" spans="1:5" x14ac:dyDescent="0.2">
      <c r="A1149" s="34" t="str">
        <f>HYPERLINK("http://www.daganm.co.il/sku/CBL574-1.8","CBL574-1.8")</f>
        <v>CBL574-1.8</v>
      </c>
      <c r="B1149" t="s">
        <v>6</v>
      </c>
      <c r="C1149" s="2" t="s">
        <v>915</v>
      </c>
      <c r="D1149" s="32"/>
      <c r="E1149" s="35" t="s">
        <v>2462</v>
      </c>
    </row>
    <row r="1150" spans="1:5" x14ac:dyDescent="0.2">
      <c r="A1150" s="34" t="str">
        <f>HYPERLINK("http://www.daganm.co.il/sku/CBL574-3","CBL574-3")</f>
        <v>CBL574-3</v>
      </c>
      <c r="B1150" t="s">
        <v>6</v>
      </c>
      <c r="C1150" s="2" t="s">
        <v>916</v>
      </c>
      <c r="D1150" s="32"/>
      <c r="E1150" s="35" t="s">
        <v>2463</v>
      </c>
    </row>
    <row r="1151" spans="1:5" x14ac:dyDescent="0.2">
      <c r="A1151" s="34" t="str">
        <f>HYPERLINK("http://www.daganm.co.il/sku/CBL574-5","CBL574-5")</f>
        <v>CBL574-5</v>
      </c>
      <c r="B1151" t="s">
        <v>6</v>
      </c>
      <c r="C1151" s="2" t="s">
        <v>917</v>
      </c>
      <c r="D1151" s="32"/>
      <c r="E1151" s="35" t="s">
        <v>2464</v>
      </c>
    </row>
    <row r="1152" spans="1:5" x14ac:dyDescent="0.2">
      <c r="A1152" s="34" t="str">
        <f>HYPERLINK("http://www.daganm.co.il/sku/CBL574AOC-10","CBL574AOC-10")</f>
        <v>CBL574AOC-10</v>
      </c>
      <c r="B1152" t="s">
        <v>6</v>
      </c>
      <c r="C1152" s="2" t="s">
        <v>918</v>
      </c>
      <c r="D1152" s="32"/>
      <c r="E1152" s="35" t="s">
        <v>2465</v>
      </c>
    </row>
    <row r="1153" spans="1:5" x14ac:dyDescent="0.2">
      <c r="A1153" s="34" t="str">
        <f>HYPERLINK("http://www.daganm.co.il/sku/CBL574AOC-15","CBL574AOC-15")</f>
        <v>CBL574AOC-15</v>
      </c>
      <c r="B1153" t="s">
        <v>6</v>
      </c>
      <c r="C1153" s="2" t="s">
        <v>919</v>
      </c>
      <c r="D1153" s="32"/>
      <c r="E1153" s="35" t="s">
        <v>2466</v>
      </c>
    </row>
    <row r="1154" spans="1:5" x14ac:dyDescent="0.2">
      <c r="A1154" s="34" t="str">
        <f>HYPERLINK("http://www.daganm.co.il/sku/CBL574AOC-20","CBL574AOC-20")</f>
        <v>CBL574AOC-20</v>
      </c>
      <c r="B1154" t="s">
        <v>6</v>
      </c>
      <c r="C1154" s="2" t="s">
        <v>920</v>
      </c>
      <c r="D1154" s="32"/>
      <c r="E1154" s="35" t="s">
        <v>2467</v>
      </c>
    </row>
    <row r="1155" spans="1:5" x14ac:dyDescent="0.2">
      <c r="A1155" s="34" t="str">
        <f>HYPERLINK("http://www.daganm.co.il/sku/CBL574AOC-30","CBL574AOC-30")</f>
        <v>CBL574AOC-30</v>
      </c>
      <c r="B1155" t="s">
        <v>6</v>
      </c>
      <c r="C1155" s="2" t="s">
        <v>921</v>
      </c>
      <c r="D1155" s="32"/>
      <c r="E1155" s="35" t="s">
        <v>2468</v>
      </c>
    </row>
    <row r="1156" spans="1:5" x14ac:dyDescent="0.2">
      <c r="A1156" s="34" t="str">
        <f>HYPERLINK("http://www.daganm.co.il/sku/CBL574AOC-50","CBL574AOC-50")</f>
        <v>CBL574AOC-50</v>
      </c>
      <c r="B1156" t="s">
        <v>6</v>
      </c>
      <c r="C1156" s="2" t="s">
        <v>922</v>
      </c>
      <c r="D1156" s="32"/>
      <c r="E1156" s="35" t="s">
        <v>2469</v>
      </c>
    </row>
    <row r="1157" spans="1:5" x14ac:dyDescent="0.2">
      <c r="A1157" s="34" t="str">
        <f>HYPERLINK("http://www.daganm.co.il/sku/CABLE-571LC-1.8","CABLE-571LC-1.8")</f>
        <v>CABLE-571LC-1.8</v>
      </c>
      <c r="B1157" t="s">
        <v>6</v>
      </c>
      <c r="C1157" s="2" t="s">
        <v>4134</v>
      </c>
      <c r="D1157" s="32"/>
      <c r="E1157" s="35" t="s">
        <v>4272</v>
      </c>
    </row>
    <row r="1158" spans="1:5" x14ac:dyDescent="0.2">
      <c r="A1158" s="37" t="str">
        <f>HYPERLINK("http://www.daganm.co.il/sku/CABLE-571LC-3","CABLE-571LC-3")</f>
        <v>CABLE-571LC-3</v>
      </c>
      <c r="B1158" t="s">
        <v>6</v>
      </c>
      <c r="C1158" s="2" t="s">
        <v>4135</v>
      </c>
      <c r="D1158" s="32"/>
      <c r="E1158" s="35" t="s">
        <v>4273</v>
      </c>
    </row>
    <row r="1159" spans="1:5" x14ac:dyDescent="0.2">
      <c r="A1159" s="34" t="str">
        <f>HYPERLINK("http://www.daganm.co.il/sku/CABLE-571-1.8","CABLE-571-1.8")</f>
        <v>CABLE-571-1.8</v>
      </c>
      <c r="B1159" t="s">
        <v>6</v>
      </c>
      <c r="C1159" s="2" t="s">
        <v>925</v>
      </c>
      <c r="D1159" s="32"/>
      <c r="E1159" s="35" t="s">
        <v>2470</v>
      </c>
    </row>
    <row r="1160" spans="1:5" x14ac:dyDescent="0.2">
      <c r="A1160" s="34" t="str">
        <f>HYPERLINK("http://www.daganm.co.il/sku/CABLE-571-3","CABLE-571-3")</f>
        <v>CABLE-571-3</v>
      </c>
      <c r="B1160" t="s">
        <v>6</v>
      </c>
      <c r="C1160" s="2" t="s">
        <v>926</v>
      </c>
      <c r="D1160" s="32"/>
      <c r="E1160" s="35" t="s">
        <v>2471</v>
      </c>
    </row>
    <row r="1161" spans="1:5" x14ac:dyDescent="0.2">
      <c r="A1161" s="34" t="str">
        <f>HYPERLINK("http://www.daganm.co.il/sku/CABLE-571-5","CABLE-571-5")</f>
        <v>CABLE-571-5</v>
      </c>
      <c r="B1161" t="s">
        <v>6</v>
      </c>
      <c r="C1161" s="2" t="s">
        <v>927</v>
      </c>
      <c r="D1161" s="32"/>
      <c r="E1161" s="35" t="s">
        <v>2472</v>
      </c>
    </row>
    <row r="1162" spans="1:5" x14ac:dyDescent="0.2">
      <c r="A1162" s="34" t="str">
        <f>HYPERLINK("http://www.daganm.co.il/sku/CABLE-571K-0.5","CABLE-571K-0.5")</f>
        <v>CABLE-571K-0.5</v>
      </c>
      <c r="B1162" t="s">
        <v>6</v>
      </c>
      <c r="C1162" s="2" t="s">
        <v>923</v>
      </c>
      <c r="D1162" s="32"/>
      <c r="E1162" s="35" t="s">
        <v>2473</v>
      </c>
    </row>
    <row r="1163" spans="1:5" x14ac:dyDescent="0.2">
      <c r="A1163" s="34" t="str">
        <f>HYPERLINK("http://www.daganm.co.il/sku/CABLE-571K-1","CABLE-571K-1")</f>
        <v>CABLE-571K-1</v>
      </c>
      <c r="B1163" t="s">
        <v>6</v>
      </c>
      <c r="C1163" s="2" t="s">
        <v>924</v>
      </c>
      <c r="D1163" s="32"/>
      <c r="E1163" s="35" t="s">
        <v>2474</v>
      </c>
    </row>
    <row r="1164" spans="1:5" x14ac:dyDescent="0.2">
      <c r="A1164" s="34" t="str">
        <f>HYPERLINK("http://www.daganm.co.il/sku/CABLE-571K-1.8","CABLE-571K-1.8")</f>
        <v>CABLE-571K-1.8</v>
      </c>
      <c r="B1164" t="s">
        <v>6</v>
      </c>
      <c r="C1164" s="2" t="s">
        <v>925</v>
      </c>
      <c r="D1164" s="32"/>
      <c r="E1164" s="35" t="s">
        <v>2475</v>
      </c>
    </row>
    <row r="1165" spans="1:5" x14ac:dyDescent="0.2">
      <c r="A1165" s="34" t="str">
        <f>HYPERLINK("http://www.daganm.co.il/sku/CABLE-571K-3","CABLE-571K-3")</f>
        <v>CABLE-571K-3</v>
      </c>
      <c r="B1165" t="s">
        <v>6</v>
      </c>
      <c r="C1165" s="2" t="s">
        <v>926</v>
      </c>
      <c r="D1165" s="32"/>
      <c r="E1165" s="35" t="s">
        <v>2476</v>
      </c>
    </row>
    <row r="1166" spans="1:5" x14ac:dyDescent="0.2">
      <c r="A1166" s="34" t="str">
        <f>HYPERLINK("http://www.daganm.co.il/sku/CABLE-571K-5","CABLE-571K-5")</f>
        <v>CABLE-571K-5</v>
      </c>
      <c r="B1166" t="s">
        <v>6</v>
      </c>
      <c r="C1166" s="2" t="s">
        <v>927</v>
      </c>
      <c r="D1166" s="32"/>
      <c r="E1166" s="35" t="s">
        <v>2477</v>
      </c>
    </row>
    <row r="1167" spans="1:5" x14ac:dyDescent="0.2">
      <c r="A1167" s="34" t="str">
        <f>HYPERLINK("http://www.daganm.co.il/sku/CABLE-571-10","CABLE-571-10")</f>
        <v>CABLE-571-10</v>
      </c>
      <c r="B1167" t="s">
        <v>6</v>
      </c>
      <c r="C1167" s="2" t="s">
        <v>928</v>
      </c>
      <c r="D1167" s="32"/>
      <c r="E1167" s="35" t="s">
        <v>2478</v>
      </c>
    </row>
    <row r="1168" spans="1:5" x14ac:dyDescent="0.2">
      <c r="A1168" s="34" t="str">
        <f>HYPERLINK("http://www.daganm.co.il/sku/CABLE-571-15","CABLE-571-15")</f>
        <v>CABLE-571-15</v>
      </c>
      <c r="B1168" t="s">
        <v>6</v>
      </c>
      <c r="C1168" s="2" t="s">
        <v>929</v>
      </c>
      <c r="D1168" s="32"/>
      <c r="E1168" s="35" t="s">
        <v>2479</v>
      </c>
    </row>
    <row r="1169" spans="1:5" x14ac:dyDescent="0.2">
      <c r="A1169" s="34" t="str">
        <f>HYPERLINK("http://www.daganm.co.il/sku/CBL571B4-1.8","CBL571B4-1.8")</f>
        <v>CBL571B4-1.8</v>
      </c>
      <c r="B1169" t="s">
        <v>6</v>
      </c>
      <c r="C1169" s="2" t="s">
        <v>930</v>
      </c>
      <c r="D1169" s="32"/>
      <c r="E1169" s="35" t="s">
        <v>2480</v>
      </c>
    </row>
    <row r="1170" spans="1:5" x14ac:dyDescent="0.2">
      <c r="A1170" s="34" t="str">
        <f>HYPERLINK("http://www.daganm.co.il/sku/CBL571B4-3","CBL571B4-3")</f>
        <v>CBL571B4-3</v>
      </c>
      <c r="B1170" t="s">
        <v>6</v>
      </c>
      <c r="C1170" s="2" t="s">
        <v>931</v>
      </c>
      <c r="D1170" s="32"/>
      <c r="E1170" s="35" t="s">
        <v>2481</v>
      </c>
    </row>
    <row r="1171" spans="1:5" x14ac:dyDescent="0.2">
      <c r="A1171" s="34" t="str">
        <f>HYPERLINK("http://www.daganm.co.il/sku/CBL571A65-1.8","CBL571A65-1.8")</f>
        <v>CBL571A65-1.8</v>
      </c>
      <c r="B1171" t="s">
        <v>6</v>
      </c>
      <c r="C1171" s="2" t="s">
        <v>951</v>
      </c>
      <c r="D1171" s="32"/>
      <c r="E1171" s="35" t="s">
        <v>3647</v>
      </c>
    </row>
    <row r="1172" spans="1:5" x14ac:dyDescent="0.2">
      <c r="A1172" s="34" t="str">
        <f>HYPERLINK("http://www.daganm.co.il/sku/CBL571A65-3","CBL571A65-3")</f>
        <v>CBL571A65-3</v>
      </c>
      <c r="B1172" t="s">
        <v>6</v>
      </c>
      <c r="C1172" s="2" t="s">
        <v>952</v>
      </c>
      <c r="D1172" s="32"/>
      <c r="E1172" s="35" t="s">
        <v>3648</v>
      </c>
    </row>
    <row r="1173" spans="1:5" x14ac:dyDescent="0.2">
      <c r="A1173" s="34" t="str">
        <f>HYPERLINK("http://www.daganm.co.il/sku/CBL5718K-1.8","CBL5718K-1.8")</f>
        <v>CBL5718K-1.8</v>
      </c>
      <c r="B1173" t="s">
        <v>6</v>
      </c>
      <c r="C1173" s="2" t="s">
        <v>3548</v>
      </c>
      <c r="D1173" s="32"/>
      <c r="E1173" s="35" t="s">
        <v>3649</v>
      </c>
    </row>
    <row r="1174" spans="1:5" x14ac:dyDescent="0.2">
      <c r="A1174" s="37" t="str">
        <f>HYPERLINK("http://www.daganm.co.il/sku/CBL5718K-3","CBL5718K-3")</f>
        <v>CBL5718K-3</v>
      </c>
      <c r="B1174" t="s">
        <v>6</v>
      </c>
      <c r="C1174" s="2" t="s">
        <v>4136</v>
      </c>
      <c r="D1174" s="32">
        <v>45442</v>
      </c>
      <c r="E1174" s="35" t="s">
        <v>4274</v>
      </c>
    </row>
    <row r="1175" spans="1:5" x14ac:dyDescent="0.2">
      <c r="A1175" s="34" t="str">
        <f>HYPERLINK("http://www.daganm.co.il/sku/CMP-ADAP571","CMP-ADAP571")</f>
        <v>CMP-ADAP571</v>
      </c>
      <c r="B1175" t="s">
        <v>6</v>
      </c>
      <c r="C1175" s="2" t="s">
        <v>942</v>
      </c>
      <c r="D1175" s="32"/>
      <c r="E1175" s="35" t="s">
        <v>2492</v>
      </c>
    </row>
    <row r="1176" spans="1:5" x14ac:dyDescent="0.2">
      <c r="A1176" s="34" t="str">
        <f>HYPERLINK("http://www.daganm.co.il/sku/CABLE-571LC-0.2","CABLE-571LC-0.2")</f>
        <v>CABLE-571LC-0.2</v>
      </c>
      <c r="B1176" t="s">
        <v>6</v>
      </c>
      <c r="C1176" s="2" t="s">
        <v>943</v>
      </c>
      <c r="D1176" s="32"/>
      <c r="E1176" s="32" t="s">
        <v>2493</v>
      </c>
    </row>
    <row r="1177" spans="1:5" x14ac:dyDescent="0.2">
      <c r="A1177" s="34" t="str">
        <f>HYPERLINK("http://www.daganm.co.il/sku/CBL571-0.2","CBL571-0.2")</f>
        <v>CBL571-0.2</v>
      </c>
      <c r="B1177" t="s">
        <v>6</v>
      </c>
      <c r="C1177" s="2" t="s">
        <v>944</v>
      </c>
      <c r="D1177" s="32"/>
      <c r="E1177" s="35" t="s">
        <v>2494</v>
      </c>
    </row>
    <row r="1178" spans="1:5" x14ac:dyDescent="0.2">
      <c r="A1178" s="34" t="str">
        <f>HYPERLINK("http://www.daganm.co.il/sku/CABLE-571K-0.2","CABLE-571K-0.2")</f>
        <v>CABLE-571K-0.2</v>
      </c>
      <c r="B1178" t="s">
        <v>6</v>
      </c>
      <c r="C1178" s="2" t="s">
        <v>4137</v>
      </c>
      <c r="D1178" s="32"/>
      <c r="E1178" s="35" t="s">
        <v>2495</v>
      </c>
    </row>
    <row r="1179" spans="1:5" x14ac:dyDescent="0.2">
      <c r="A1179" s="34" t="str">
        <f>HYPERLINK("http://www.daganm.co.il/sku/CBL571A65-0.2","CBL571A65-0.2")</f>
        <v>CBL571A65-0.2</v>
      </c>
      <c r="B1179" t="s">
        <v>6</v>
      </c>
      <c r="C1179" s="2" t="s">
        <v>950</v>
      </c>
      <c r="D1179" s="32"/>
      <c r="E1179" s="35" t="s">
        <v>3455</v>
      </c>
    </row>
    <row r="1180" spans="1:5" x14ac:dyDescent="0.2">
      <c r="A1180" s="34" t="str">
        <f>HYPERLINK("http://www.daganm.co.il/sku/CBL571A60-0.2","CBL571A60-0.2")</f>
        <v>CBL571A60-0.2</v>
      </c>
      <c r="B1180" t="s">
        <v>6</v>
      </c>
      <c r="C1180" s="2" t="s">
        <v>950</v>
      </c>
      <c r="D1180" s="32"/>
      <c r="E1180" s="35" t="s">
        <v>4275</v>
      </c>
    </row>
    <row r="1181" spans="1:5" x14ac:dyDescent="0.2">
      <c r="A1181" s="34" t="str">
        <f>HYPERLINK("http://www.daganm.co.il/sku/CBL5718K-0.2","CBL5718K-0.2")</f>
        <v>CBL5718K-0.2</v>
      </c>
      <c r="B1181" t="s">
        <v>6</v>
      </c>
      <c r="C1181" s="2" t="s">
        <v>3549</v>
      </c>
      <c r="D1181" s="32"/>
      <c r="E1181" s="35" t="s">
        <v>3650</v>
      </c>
    </row>
    <row r="1182" spans="1:5" x14ac:dyDescent="0.2">
      <c r="A1182" s="34" t="str">
        <f>HYPERLINK("http://www.daganm.co.il/sku/CABLE-580-0.1","CABLE-580-0.1")</f>
        <v>CABLE-580-0.1</v>
      </c>
      <c r="B1182" t="s">
        <v>6</v>
      </c>
      <c r="C1182" s="2" t="s">
        <v>955</v>
      </c>
      <c r="D1182" s="32"/>
      <c r="E1182" s="35" t="s">
        <v>2503</v>
      </c>
    </row>
    <row r="1183" spans="1:5" x14ac:dyDescent="0.2">
      <c r="A1183" s="34" t="str">
        <f>HYPERLINK("http://www.daganm.co.il/sku/CABLE-580-4K","CABLE-580-4K")</f>
        <v>CABLE-580-4K</v>
      </c>
      <c r="B1183" t="s">
        <v>6</v>
      </c>
      <c r="C1183" s="2" t="s">
        <v>956</v>
      </c>
      <c r="D1183" s="32"/>
      <c r="E1183" s="35" t="s">
        <v>2504</v>
      </c>
    </row>
    <row r="1184" spans="1:5" x14ac:dyDescent="0.2">
      <c r="A1184" s="34" t="str">
        <f>HYPERLINK("http://www.daganm.co.il/sku/CABLE-580K-1.8","CABLE-580K-1.8")</f>
        <v>CABLE-580K-1.8</v>
      </c>
      <c r="B1184" t="s">
        <v>6</v>
      </c>
      <c r="C1184" s="2" t="s">
        <v>3323</v>
      </c>
      <c r="D1184" s="32"/>
      <c r="E1184" s="35" t="s">
        <v>3456</v>
      </c>
    </row>
    <row r="1185" spans="1:5" x14ac:dyDescent="0.2">
      <c r="A1185" s="34" t="str">
        <f>HYPERLINK("http://www.daganm.co.il/sku/CABLE-572K-0.5","CABLE-572K-0.5")</f>
        <v>CABLE-572K-0.5</v>
      </c>
      <c r="B1185" t="s">
        <v>6</v>
      </c>
      <c r="C1185" s="2" t="s">
        <v>932</v>
      </c>
      <c r="D1185" s="32"/>
      <c r="E1185" s="35" t="s">
        <v>2482</v>
      </c>
    </row>
    <row r="1186" spans="1:5" x14ac:dyDescent="0.2">
      <c r="A1186" s="34" t="str">
        <f>HYPERLINK("http://www.daganm.co.il/sku/CABLE-572K-1","CABLE-572K-1")</f>
        <v>CABLE-572K-1</v>
      </c>
      <c r="B1186" t="s">
        <v>6</v>
      </c>
      <c r="C1186" s="2" t="s">
        <v>933</v>
      </c>
      <c r="D1186" s="32"/>
      <c r="E1186" s="35" t="s">
        <v>2483</v>
      </c>
    </row>
    <row r="1187" spans="1:5" x14ac:dyDescent="0.2">
      <c r="A1187" s="34" t="str">
        <f>HYPERLINK("http://www.daganm.co.il/sku/CABLE-572K-1.8","CABLE-572K-1.8")</f>
        <v>CABLE-572K-1.8</v>
      </c>
      <c r="B1187" t="s">
        <v>6</v>
      </c>
      <c r="C1187" s="2" t="s">
        <v>934</v>
      </c>
      <c r="D1187" s="32"/>
      <c r="E1187" s="35" t="s">
        <v>2484</v>
      </c>
    </row>
    <row r="1188" spans="1:5" x14ac:dyDescent="0.2">
      <c r="A1188" s="34" t="str">
        <f>HYPERLINK("http://www.daganm.co.il/sku/CABLE-572K-3","CABLE-572K-3")</f>
        <v>CABLE-572K-3</v>
      </c>
      <c r="B1188" t="s">
        <v>6</v>
      </c>
      <c r="C1188" s="2" t="s">
        <v>935</v>
      </c>
      <c r="D1188" s="32"/>
      <c r="E1188" s="35" t="s">
        <v>2485</v>
      </c>
    </row>
    <row r="1189" spans="1:5" x14ac:dyDescent="0.2">
      <c r="A1189" s="34" t="str">
        <f>HYPERLINK("http://www.daganm.co.il/sku/CABLE-572-15","CABLE-572-15")</f>
        <v>CABLE-572-15</v>
      </c>
      <c r="B1189" t="s">
        <v>6</v>
      </c>
      <c r="C1189" s="2" t="s">
        <v>936</v>
      </c>
      <c r="D1189" s="32"/>
      <c r="E1189" s="35" t="s">
        <v>2486</v>
      </c>
    </row>
    <row r="1190" spans="1:5" x14ac:dyDescent="0.2">
      <c r="A1190" s="34" t="str">
        <f>HYPERLINK("http://www.daganm.co.il/sku/CABLE-572LC-1.8","CABLE-572LC-1.8")</f>
        <v>CABLE-572LC-1.8</v>
      </c>
      <c r="B1190" t="s">
        <v>6</v>
      </c>
      <c r="C1190" s="2" t="s">
        <v>937</v>
      </c>
      <c r="D1190" s="36"/>
      <c r="E1190" s="35" t="s">
        <v>2487</v>
      </c>
    </row>
    <row r="1191" spans="1:5" x14ac:dyDescent="0.2">
      <c r="A1191" s="34" t="str">
        <f>HYPERLINK("http://www.daganm.co.il/sku/CABLE-572LC-3","CABLE-572LC-3")</f>
        <v>CABLE-572LC-3</v>
      </c>
      <c r="B1191" t="s">
        <v>6</v>
      </c>
      <c r="C1191" s="2" t="s">
        <v>938</v>
      </c>
      <c r="D1191" s="32"/>
      <c r="E1191" s="35" t="s">
        <v>2488</v>
      </c>
    </row>
    <row r="1192" spans="1:5" x14ac:dyDescent="0.2">
      <c r="A1192" s="34" t="str">
        <f>HYPERLINK("http://www.daganm.co.il/sku/CABLE-572LC-5","CABLE-572LC-5")</f>
        <v>CABLE-572LC-5</v>
      </c>
      <c r="B1192" t="s">
        <v>6</v>
      </c>
      <c r="C1192" s="2" t="s">
        <v>939</v>
      </c>
      <c r="D1192" s="32"/>
      <c r="E1192" s="35" t="s">
        <v>2489</v>
      </c>
    </row>
    <row r="1193" spans="1:5" x14ac:dyDescent="0.2">
      <c r="A1193" s="34" t="str">
        <f>HYPERLINK("http://www.daganm.co.il/sku/CMP-ADAP572","CMP-ADAP572")</f>
        <v>CMP-ADAP572</v>
      </c>
      <c r="B1193" t="s">
        <v>6</v>
      </c>
      <c r="C1193" s="2" t="s">
        <v>945</v>
      </c>
      <c r="D1193" s="32"/>
      <c r="E1193" s="35" t="s">
        <v>2496</v>
      </c>
    </row>
    <row r="1194" spans="1:5" x14ac:dyDescent="0.2">
      <c r="A1194" s="34" t="str">
        <f>HYPERLINK("http://www.daganm.co.il/sku/CABLE-572LC-0.2","CABLE-572LC-0.2")</f>
        <v>CABLE-572LC-0.2</v>
      </c>
      <c r="B1194" t="s">
        <v>6</v>
      </c>
      <c r="C1194" s="2" t="s">
        <v>946</v>
      </c>
      <c r="D1194" s="32"/>
      <c r="E1194" s="35" t="s">
        <v>2497</v>
      </c>
    </row>
    <row r="1195" spans="1:5" x14ac:dyDescent="0.2">
      <c r="A1195" s="34" t="str">
        <f>HYPERLINK("http://www.daganm.co.il/sku/CABLE-572-0.15","CABLE-572-0.15")</f>
        <v>CABLE-572-0.15</v>
      </c>
      <c r="B1195" t="s">
        <v>6</v>
      </c>
      <c r="C1195" s="2" t="s">
        <v>947</v>
      </c>
      <c r="D1195" s="32"/>
      <c r="E1195" s="35" t="s">
        <v>2498</v>
      </c>
    </row>
    <row r="1196" spans="1:5" x14ac:dyDescent="0.2">
      <c r="A1196" s="34" t="str">
        <f>HYPERLINK("http://www.daganm.co.il/sku/CABLE-573LC-1.8","CABLE-573LC-1.8")</f>
        <v>CABLE-573LC-1.8</v>
      </c>
      <c r="B1196" t="s">
        <v>6</v>
      </c>
      <c r="C1196" s="2" t="s">
        <v>941</v>
      </c>
      <c r="D1196" s="32"/>
      <c r="E1196" s="35" t="s">
        <v>2491</v>
      </c>
    </row>
    <row r="1197" spans="1:5" x14ac:dyDescent="0.2">
      <c r="A1197" s="34" t="str">
        <f>HYPERLINK("http://www.daganm.co.il/sku/CABLE-573-1.8","CABLE-573-1.8")</f>
        <v>CABLE-573-1.8</v>
      </c>
      <c r="B1197" t="s">
        <v>6</v>
      </c>
      <c r="C1197" s="2" t="s">
        <v>940</v>
      </c>
      <c r="D1197" s="32"/>
      <c r="E1197" s="35" t="s">
        <v>2490</v>
      </c>
    </row>
    <row r="1198" spans="1:5" x14ac:dyDescent="0.2">
      <c r="A1198" s="37" t="str">
        <f>HYPERLINK("http://www.daganm.co.il/sku/CABLE-573HQ-1.8","CABLE-573HQ-1.8")</f>
        <v>CABLE-573HQ-1.8</v>
      </c>
      <c r="B1198" t="s">
        <v>6</v>
      </c>
      <c r="C1198" s="2" t="s">
        <v>4138</v>
      </c>
      <c r="D1198" s="32"/>
      <c r="E1198" s="35" t="s">
        <v>4276</v>
      </c>
    </row>
    <row r="1199" spans="1:5" x14ac:dyDescent="0.2">
      <c r="A1199" s="34" t="str">
        <f>HYPERLINK("http://www.daganm.co.il/sku/CABLE-573LC-0.2","CABLE-573LC-0.2")</f>
        <v>CABLE-573LC-0.2</v>
      </c>
      <c r="B1199" t="s">
        <v>6</v>
      </c>
      <c r="C1199" s="2" t="s">
        <v>948</v>
      </c>
      <c r="D1199" s="32"/>
      <c r="E1199" s="35" t="s">
        <v>2499</v>
      </c>
    </row>
    <row r="1200" spans="1:5" x14ac:dyDescent="0.2">
      <c r="A1200" s="34" t="str">
        <f>HYPERLINK("http://www.daganm.co.il/sku/CBL573F-0.2","CBL573F-0.2")</f>
        <v>CBL573F-0.2</v>
      </c>
      <c r="B1200" t="s">
        <v>6</v>
      </c>
      <c r="C1200" s="2" t="s">
        <v>949</v>
      </c>
      <c r="D1200" s="32"/>
      <c r="E1200" s="35" t="s">
        <v>2500</v>
      </c>
    </row>
    <row r="1201" spans="1:5" x14ac:dyDescent="0.2">
      <c r="A1201" s="34" t="str">
        <f>HYPERLINK("http://www.daganm.co.il/sku/CBL572A60-0.2","CBL572A60-0.2")</f>
        <v>CBL572A60-0.2</v>
      </c>
      <c r="B1201" t="s">
        <v>6</v>
      </c>
      <c r="C1201" s="2" t="s">
        <v>953</v>
      </c>
      <c r="D1201" s="32"/>
      <c r="E1201" s="35" t="s">
        <v>2501</v>
      </c>
    </row>
    <row r="1202" spans="1:5" x14ac:dyDescent="0.2">
      <c r="A1202" s="34" t="str">
        <f>HYPERLINK("http://www.daganm.co.il/sku/CABLE-579UN","CABLE-579UN")</f>
        <v>CABLE-579UN</v>
      </c>
      <c r="B1202" t="s">
        <v>6</v>
      </c>
      <c r="C1202" s="2" t="s">
        <v>954</v>
      </c>
      <c r="D1202" s="36"/>
      <c r="E1202" s="35" t="s">
        <v>2502</v>
      </c>
    </row>
    <row r="1203" spans="1:5" x14ac:dyDescent="0.2">
      <c r="A1203" s="34" t="str">
        <f>HYPERLINK("http://www.daganm.co.il/sku/CABLE-575","CABLE-575")</f>
        <v>CABLE-575</v>
      </c>
      <c r="B1203" t="s">
        <v>6</v>
      </c>
      <c r="C1203" s="2" t="s">
        <v>958</v>
      </c>
      <c r="D1203" s="32"/>
      <c r="E1203" s="32" t="s">
        <v>2506</v>
      </c>
    </row>
    <row r="1204" spans="1:5" x14ac:dyDescent="0.2">
      <c r="A1204" s="34" t="str">
        <f>HYPERLINK("http://www.daganm.co.il/sku/VC-013","VC-013")</f>
        <v>VC-013</v>
      </c>
      <c r="B1204" t="s">
        <v>6</v>
      </c>
      <c r="C1204" s="2" t="s">
        <v>959</v>
      </c>
      <c r="D1204" s="36"/>
      <c r="E1204" s="35" t="s">
        <v>2507</v>
      </c>
    </row>
    <row r="1205" spans="1:5" x14ac:dyDescent="0.2">
      <c r="A1205" s="34" t="str">
        <f>HYPERLINK("http://www.daganm.co.il/sku/VC-013P","VC-013P")</f>
        <v>VC-013P</v>
      </c>
      <c r="B1205" t="s">
        <v>6</v>
      </c>
      <c r="C1205" s="2" t="s">
        <v>960</v>
      </c>
      <c r="D1205" s="32"/>
      <c r="E1205" s="35" t="s">
        <v>2508</v>
      </c>
    </row>
    <row r="1206" spans="1:5" x14ac:dyDescent="0.2">
      <c r="A1206" s="34" t="str">
        <f>HYPERLINK("http://www.daganm.co.il/sku/DP-DUMMY1","DP-DUMMY1")</f>
        <v>DP-DUMMY1</v>
      </c>
      <c r="B1206" t="s">
        <v>6</v>
      </c>
      <c r="C1206" s="2" t="s">
        <v>3550</v>
      </c>
      <c r="D1206" s="32"/>
      <c r="E1206" s="35" t="s">
        <v>3651</v>
      </c>
    </row>
    <row r="1207" spans="1:5" x14ac:dyDescent="0.2">
      <c r="B1207"/>
      <c r="C1207" s="33" t="s">
        <v>51</v>
      </c>
      <c r="D1207" s="32"/>
      <c r="E1207" s="32"/>
    </row>
    <row r="1208" spans="1:5" x14ac:dyDescent="0.2">
      <c r="A1208" s="34" t="str">
        <f>HYPERLINK("http://www.daganm.co.il/sku/CBL11058K-0.2","CBL11058K-0.2")</f>
        <v>CBL11058K-0.2</v>
      </c>
      <c r="B1208" t="s">
        <v>6</v>
      </c>
      <c r="C1208" s="2" t="s">
        <v>3795</v>
      </c>
      <c r="D1208" s="32"/>
      <c r="E1208" s="32" t="s">
        <v>4005</v>
      </c>
    </row>
    <row r="1209" spans="1:5" x14ac:dyDescent="0.2">
      <c r="A1209" s="34" t="str">
        <f>HYPERLINK("http://www.daganm.co.il/sku/CABLE-1110M/1","CABLE-1110M/1")</f>
        <v>CABLE-1110M/1</v>
      </c>
      <c r="B1209" t="s">
        <v>6</v>
      </c>
      <c r="C1209" s="2" t="s">
        <v>961</v>
      </c>
      <c r="D1209" s="32"/>
      <c r="E1209" s="35" t="s">
        <v>2509</v>
      </c>
    </row>
    <row r="1210" spans="1:5" x14ac:dyDescent="0.2">
      <c r="A1210" s="34" t="str">
        <f>HYPERLINK("http://www.daganm.co.il/sku/CABLE-1110K-1.8","CABLE-1110K-1.8")</f>
        <v>CABLE-1110K-1.8</v>
      </c>
      <c r="B1210" t="s">
        <v>6</v>
      </c>
      <c r="C1210" s="2" t="s">
        <v>4139</v>
      </c>
      <c r="D1210" s="32"/>
      <c r="E1210" s="35" t="s">
        <v>2510</v>
      </c>
    </row>
    <row r="1211" spans="1:5" x14ac:dyDescent="0.2">
      <c r="A1211" s="34" t="str">
        <f>HYPERLINK("http://www.daganm.co.il/sku/CABLE-1110M/3","CABLE-1110M/3")</f>
        <v>CABLE-1110M/3</v>
      </c>
      <c r="B1211" t="s">
        <v>6</v>
      </c>
      <c r="C1211" s="2" t="s">
        <v>962</v>
      </c>
      <c r="D1211" s="32"/>
      <c r="E1211" s="35" t="s">
        <v>2511</v>
      </c>
    </row>
    <row r="1212" spans="1:5" x14ac:dyDescent="0.2">
      <c r="A1212" s="34" t="str">
        <f>HYPERLINK("http://www.daganm.co.il/sku/CABLE-1110K-3","CABLE-1110K-3")</f>
        <v>CABLE-1110K-3</v>
      </c>
      <c r="B1212" t="s">
        <v>6</v>
      </c>
      <c r="C1212" s="2" t="s">
        <v>4140</v>
      </c>
      <c r="D1212" s="32"/>
      <c r="E1212" s="35" t="s">
        <v>2512</v>
      </c>
    </row>
    <row r="1213" spans="1:5" x14ac:dyDescent="0.2">
      <c r="A1213" s="34" t="str">
        <f>HYPERLINK("http://www.daganm.co.il/sku/CABLE-1110M/5","CABLE-1110M/5")</f>
        <v>CABLE-1110M/5</v>
      </c>
      <c r="B1213" t="s">
        <v>6</v>
      </c>
      <c r="C1213" s="2" t="s">
        <v>963</v>
      </c>
      <c r="D1213" s="36"/>
      <c r="E1213" s="35" t="s">
        <v>2513</v>
      </c>
    </row>
    <row r="1214" spans="1:5" x14ac:dyDescent="0.2">
      <c r="A1214" s="34" t="str">
        <f>HYPERLINK("http://www.daganm.co.il/sku/CABLE-1110K-5","CABLE-1110K-5")</f>
        <v>CABLE-1110K-5</v>
      </c>
      <c r="B1214" t="s">
        <v>6</v>
      </c>
      <c r="C1214" s="2" t="s">
        <v>4141</v>
      </c>
      <c r="D1214" s="32"/>
      <c r="E1214" s="35" t="s">
        <v>2514</v>
      </c>
    </row>
    <row r="1215" spans="1:5" x14ac:dyDescent="0.2">
      <c r="A1215" s="34" t="str">
        <f>HYPERLINK("http://www.daganm.co.il/sku/CABLE-575M","CABLE-575M")</f>
        <v>CABLE-575M</v>
      </c>
      <c r="B1215" t="s">
        <v>6</v>
      </c>
      <c r="C1215" s="2" t="s">
        <v>980</v>
      </c>
      <c r="D1215" s="32"/>
      <c r="E1215" s="35" t="s">
        <v>2529</v>
      </c>
    </row>
    <row r="1216" spans="1:5" x14ac:dyDescent="0.2">
      <c r="A1216" s="34" t="str">
        <f>HYPERLINK("http://www.daganm.co.il/sku/CABLE-1107LC-0.2","CABLE-1107LC-0.2")</f>
        <v>CABLE-1107LC-0.2</v>
      </c>
      <c r="B1216" t="s">
        <v>6</v>
      </c>
      <c r="C1216" s="2" t="s">
        <v>969</v>
      </c>
      <c r="D1216" s="32"/>
      <c r="E1216" s="35" t="s">
        <v>2520</v>
      </c>
    </row>
    <row r="1217" spans="1:5" x14ac:dyDescent="0.2">
      <c r="A1217" s="34" t="str">
        <f>HYPERLINK("http://www.daganm.co.il/sku/CABLE-1107-0.2","CABLE-1107-0.2")</f>
        <v>CABLE-1107-0.2</v>
      </c>
      <c r="B1217" t="s">
        <v>6</v>
      </c>
      <c r="C1217" s="2" t="s">
        <v>970</v>
      </c>
      <c r="D1217" s="32"/>
      <c r="E1217" s="35" t="s">
        <v>2521</v>
      </c>
    </row>
    <row r="1218" spans="1:5" x14ac:dyDescent="0.2">
      <c r="A1218" s="34" t="str">
        <f>HYPERLINK("http://www.daganm.co.il/sku/CABLE-1107K-0.2","CABLE-1107K-0.2")</f>
        <v>CABLE-1107K-0.2</v>
      </c>
      <c r="B1218" t="s">
        <v>6</v>
      </c>
      <c r="C1218" s="2" t="s">
        <v>971</v>
      </c>
      <c r="D1218" s="32"/>
      <c r="E1218" s="35" t="s">
        <v>2522</v>
      </c>
    </row>
    <row r="1219" spans="1:5" x14ac:dyDescent="0.2">
      <c r="A1219" s="34" t="str">
        <f>HYPERLINK("http://www.daganm.co.il/sku/CBL1107A65-0.2","CBL1107A65-0.2")</f>
        <v>CBL1107A65-0.2</v>
      </c>
      <c r="B1219" t="s">
        <v>6</v>
      </c>
      <c r="C1219" s="2" t="s">
        <v>972</v>
      </c>
      <c r="D1219" s="32"/>
      <c r="E1219" s="35" t="s">
        <v>3457</v>
      </c>
    </row>
    <row r="1220" spans="1:5" x14ac:dyDescent="0.2">
      <c r="A1220" s="34" t="str">
        <f>HYPERLINK("http://www.daganm.co.il/sku/CBL1107A65-1.8","CBL1107A65-1.8")</f>
        <v>CBL1107A65-1.8</v>
      </c>
      <c r="B1220" t="s">
        <v>6</v>
      </c>
      <c r="C1220" s="2" t="s">
        <v>973</v>
      </c>
      <c r="D1220" s="32"/>
      <c r="E1220" s="35" t="s">
        <v>3458</v>
      </c>
    </row>
    <row r="1221" spans="1:5" x14ac:dyDescent="0.2">
      <c r="A1221" s="34" t="str">
        <f>HYPERLINK("http://www.daganm.co.il/sku/CABLE-1107LC/1.8","CABLE-1107LC/1.8")</f>
        <v>CABLE-1107LC/1.8</v>
      </c>
      <c r="B1221" t="s">
        <v>6</v>
      </c>
      <c r="C1221" s="2" t="s">
        <v>974</v>
      </c>
      <c r="D1221" s="32"/>
      <c r="E1221" s="35" t="s">
        <v>2523</v>
      </c>
    </row>
    <row r="1222" spans="1:5" x14ac:dyDescent="0.2">
      <c r="A1222" s="34" t="str">
        <f>HYPERLINK("http://www.daganm.co.il/sku/CABLE-1107/1.8","CABLE-1107/1.8")</f>
        <v>CABLE-1107/1.8</v>
      </c>
      <c r="B1222" t="s">
        <v>6</v>
      </c>
      <c r="C1222" s="2" t="s">
        <v>975</v>
      </c>
      <c r="D1222" s="32"/>
      <c r="E1222" s="35" t="s">
        <v>2524</v>
      </c>
    </row>
    <row r="1223" spans="1:5" x14ac:dyDescent="0.2">
      <c r="A1223" s="34" t="str">
        <f>HYPERLINK("http://www.daganm.co.il/sku/CABLE-1107K-1.8","CABLE-1107K-1.8")</f>
        <v>CABLE-1107K-1.8</v>
      </c>
      <c r="B1223" t="s">
        <v>6</v>
      </c>
      <c r="C1223" s="2" t="s">
        <v>976</v>
      </c>
      <c r="D1223" s="32"/>
      <c r="E1223" s="35" t="s">
        <v>2525</v>
      </c>
    </row>
    <row r="1224" spans="1:5" x14ac:dyDescent="0.2">
      <c r="A1224" s="34" t="str">
        <f>HYPERLINK("http://www.daganm.co.il/sku/CABLE-1106L-0.2","CABLE-1106L-0.2")</f>
        <v>CABLE-1106L-0.2</v>
      </c>
      <c r="B1224" t="s">
        <v>6</v>
      </c>
      <c r="C1224" s="2" t="s">
        <v>964</v>
      </c>
      <c r="D1224" s="32"/>
      <c r="E1224" s="35" t="s">
        <v>2515</v>
      </c>
    </row>
    <row r="1225" spans="1:5" x14ac:dyDescent="0.2">
      <c r="A1225" s="34" t="str">
        <f>HYPERLINK("http://www.daganm.co.il/sku/CBL1106A60-0.2","CBL1106A60-0.2")</f>
        <v>CBL1106A60-0.2</v>
      </c>
      <c r="B1225" t="s">
        <v>6</v>
      </c>
      <c r="C1225" s="2" t="s">
        <v>965</v>
      </c>
      <c r="D1225" s="36"/>
      <c r="E1225" s="35" t="s">
        <v>2516</v>
      </c>
    </row>
    <row r="1226" spans="1:5" x14ac:dyDescent="0.2">
      <c r="A1226" s="34" t="str">
        <f>HYPERLINK("http://www.daganm.co.il/sku/CABLE-1106/1.8","CABLE-1106/1.8")</f>
        <v>CABLE-1106/1.8</v>
      </c>
      <c r="B1226" t="s">
        <v>6</v>
      </c>
      <c r="C1226" s="2" t="s">
        <v>966</v>
      </c>
      <c r="D1226" s="36"/>
      <c r="E1226" s="35" t="s">
        <v>2517</v>
      </c>
    </row>
    <row r="1227" spans="1:5" x14ac:dyDescent="0.2">
      <c r="A1227" s="34" t="str">
        <f>HYPERLINK("http://www.daganm.co.il/sku/CABLE-1106/3","CABLE-1106/3")</f>
        <v>CABLE-1106/3</v>
      </c>
      <c r="B1227" t="s">
        <v>6</v>
      </c>
      <c r="C1227" s="2" t="s">
        <v>967</v>
      </c>
      <c r="D1227" s="32"/>
      <c r="E1227" s="35" t="s">
        <v>2518</v>
      </c>
    </row>
    <row r="1228" spans="1:5" x14ac:dyDescent="0.2">
      <c r="A1228" s="34" t="str">
        <f>HYPERLINK("http://www.daganm.co.il/sku/CABLE-1106/5","CABLE-1106/5")</f>
        <v>CABLE-1106/5</v>
      </c>
      <c r="B1228" t="s">
        <v>6</v>
      </c>
      <c r="C1228" s="2" t="s">
        <v>968</v>
      </c>
      <c r="D1228" s="36"/>
      <c r="E1228" s="35" t="s">
        <v>2519</v>
      </c>
    </row>
    <row r="1229" spans="1:5" x14ac:dyDescent="0.2">
      <c r="A1229" s="34" t="str">
        <f>HYPERLINK("http://www.daganm.co.il/sku/CABLE-1108L-0.2","CABLE-1108L-0.2")</f>
        <v>CABLE-1108L-0.2</v>
      </c>
      <c r="B1229" t="s">
        <v>6</v>
      </c>
      <c r="C1229" s="2" t="s">
        <v>977</v>
      </c>
      <c r="D1229" s="32"/>
      <c r="E1229" s="35" t="s">
        <v>2526</v>
      </c>
    </row>
    <row r="1230" spans="1:5" x14ac:dyDescent="0.2">
      <c r="A1230" s="34" t="str">
        <f>HYPERLINK("http://www.daganm.co.il/sku/CABLE-1108/1.8","CABLE-1108/1.8")</f>
        <v>CABLE-1108/1.8</v>
      </c>
      <c r="B1230" t="s">
        <v>6</v>
      </c>
      <c r="C1230" s="2" t="s">
        <v>978</v>
      </c>
      <c r="D1230" s="32">
        <v>45442</v>
      </c>
      <c r="E1230" s="35" t="s">
        <v>2527</v>
      </c>
    </row>
    <row r="1231" spans="1:5" x14ac:dyDescent="0.2">
      <c r="A1231" s="34" t="str">
        <f>HYPERLINK("http://www.daganm.co.il/sku/CABLE-1107UN","CABLE-1107UN")</f>
        <v>CABLE-1107UN</v>
      </c>
      <c r="B1231" t="s">
        <v>6</v>
      </c>
      <c r="C1231" s="2" t="s">
        <v>979</v>
      </c>
      <c r="D1231" s="32"/>
      <c r="E1231" s="35" t="s">
        <v>2528</v>
      </c>
    </row>
    <row r="1232" spans="1:5" x14ac:dyDescent="0.2">
      <c r="B1232"/>
      <c r="C1232" s="33" t="s">
        <v>3324</v>
      </c>
      <c r="D1232" s="32"/>
      <c r="E1232" s="35"/>
    </row>
    <row r="1233" spans="1:5" x14ac:dyDescent="0.2">
      <c r="A1233" s="34" t="str">
        <f>HYPERLINK("http://www.daganm.co.il/sku/CABLE-581","CABLE-581")</f>
        <v>CABLE-581</v>
      </c>
      <c r="B1233" t="s">
        <v>6</v>
      </c>
      <c r="C1233" s="2" t="s">
        <v>957</v>
      </c>
      <c r="D1233" s="32"/>
      <c r="E1233" s="35" t="s">
        <v>2505</v>
      </c>
    </row>
    <row r="1234" spans="1:5" x14ac:dyDescent="0.2">
      <c r="A1234" s="34" t="str">
        <f>HYPERLINK("http://www.daganm.co.il/sku/DPSP-03","DPSP-03")</f>
        <v>DPSP-03</v>
      </c>
      <c r="B1234" t="s">
        <v>6</v>
      </c>
      <c r="C1234" s="2" t="s">
        <v>3325</v>
      </c>
      <c r="D1234" s="32"/>
      <c r="E1234" s="35" t="s">
        <v>3459</v>
      </c>
    </row>
    <row r="1235" spans="1:5" x14ac:dyDescent="0.2">
      <c r="A1235" s="34" t="str">
        <f>HYPERLINK("http://www.daganm.co.il/sku/DPSW-1","DPSW-1")</f>
        <v>DPSW-1</v>
      </c>
      <c r="B1235" t="s">
        <v>6</v>
      </c>
      <c r="C1235" s="2" t="s">
        <v>3326</v>
      </c>
      <c r="D1235" s="32"/>
      <c r="E1235" s="35" t="s">
        <v>3460</v>
      </c>
    </row>
    <row r="1236" spans="1:5" ht="16.5" x14ac:dyDescent="0.25">
      <c r="B1236"/>
      <c r="C1236" s="31" t="s">
        <v>52</v>
      </c>
      <c r="D1236" s="32"/>
      <c r="E1236" s="35"/>
    </row>
    <row r="1237" spans="1:5" x14ac:dyDescent="0.2">
      <c r="B1237"/>
      <c r="C1237" s="33" t="s">
        <v>53</v>
      </c>
      <c r="D1237" s="32"/>
      <c r="E1237" s="35"/>
    </row>
    <row r="1238" spans="1:5" x14ac:dyDescent="0.2">
      <c r="A1238" s="34" t="str">
        <f>HYPERLINK("http://www.daganm.co.il/sku/CBL140-0.5","CBL140-0.5")</f>
        <v>CBL140-0.5</v>
      </c>
      <c r="B1238" t="s">
        <v>6</v>
      </c>
      <c r="C1238" s="2" t="s">
        <v>981</v>
      </c>
      <c r="D1238" s="32"/>
      <c r="E1238" s="35" t="s">
        <v>2530</v>
      </c>
    </row>
    <row r="1239" spans="1:5" x14ac:dyDescent="0.2">
      <c r="A1239" s="34" t="str">
        <f>HYPERLINK("http://www.daganm.co.il/sku/CBL140-1","CBL140-1")</f>
        <v>CBL140-1</v>
      </c>
      <c r="B1239" t="s">
        <v>6</v>
      </c>
      <c r="C1239" s="2" t="s">
        <v>982</v>
      </c>
      <c r="D1239" s="32"/>
      <c r="E1239" s="35" t="s">
        <v>2531</v>
      </c>
    </row>
    <row r="1240" spans="1:5" x14ac:dyDescent="0.2">
      <c r="A1240" s="34" t="str">
        <f>HYPERLINK("http://www.daganm.co.il/sku/CBL140-1.8","CBL140-1.8")</f>
        <v>CBL140-1.8</v>
      </c>
      <c r="B1240" t="s">
        <v>6</v>
      </c>
      <c r="C1240" s="2" t="s">
        <v>983</v>
      </c>
      <c r="D1240" s="32"/>
      <c r="E1240" s="35" t="s">
        <v>2532</v>
      </c>
    </row>
    <row r="1241" spans="1:5" x14ac:dyDescent="0.2">
      <c r="A1241" s="34" t="str">
        <f>HYPERLINK("http://www.daganm.co.il/sku/CBL140-3","CBL140-3")</f>
        <v>CBL140-3</v>
      </c>
      <c r="B1241" t="s">
        <v>6</v>
      </c>
      <c r="C1241" s="2" t="s">
        <v>984</v>
      </c>
      <c r="D1241" s="32">
        <v>45442</v>
      </c>
      <c r="E1241" s="35" t="s">
        <v>2533</v>
      </c>
    </row>
    <row r="1242" spans="1:5" x14ac:dyDescent="0.2">
      <c r="A1242" s="34" t="str">
        <f>HYPERLINK("http://www.daganm.co.il/sku/CBL140-5","CBL140-5")</f>
        <v>CBL140-5</v>
      </c>
      <c r="B1242" t="s">
        <v>6</v>
      </c>
      <c r="C1242" s="2" t="s">
        <v>985</v>
      </c>
      <c r="D1242" s="32"/>
      <c r="E1242" s="35" t="s">
        <v>2534</v>
      </c>
    </row>
    <row r="1243" spans="1:5" x14ac:dyDescent="0.2">
      <c r="A1243" s="34" t="str">
        <f>HYPERLINK("http://www.daganm.co.il/sku/C140HQ-0.5","C140HQ-0.5")</f>
        <v>C140HQ-0.5</v>
      </c>
      <c r="B1243" t="s">
        <v>6</v>
      </c>
      <c r="C1243" s="2" t="s">
        <v>986</v>
      </c>
      <c r="D1243" s="32"/>
      <c r="E1243" s="35" t="s">
        <v>2535</v>
      </c>
    </row>
    <row r="1244" spans="1:5" x14ac:dyDescent="0.2">
      <c r="A1244" s="34" t="str">
        <f>HYPERLINK("http://www.daganm.co.il/sku/C140HQ-1","C140HQ-1")</f>
        <v>C140HQ-1</v>
      </c>
      <c r="B1244" t="s">
        <v>6</v>
      </c>
      <c r="C1244" s="2" t="s">
        <v>987</v>
      </c>
      <c r="D1244" s="32"/>
      <c r="E1244" s="35" t="s">
        <v>2536</v>
      </c>
    </row>
    <row r="1245" spans="1:5" x14ac:dyDescent="0.2">
      <c r="A1245" s="34" t="str">
        <f>HYPERLINK("http://www.daganm.co.il/sku/C140HQ-2","C140HQ-2")</f>
        <v>C140HQ-2</v>
      </c>
      <c r="B1245" t="s">
        <v>6</v>
      </c>
      <c r="C1245" s="2" t="s">
        <v>988</v>
      </c>
      <c r="D1245" s="32"/>
      <c r="E1245" s="35" t="s">
        <v>2537</v>
      </c>
    </row>
    <row r="1246" spans="1:5" x14ac:dyDescent="0.2">
      <c r="A1246" s="34" t="str">
        <f>HYPERLINK("http://www.daganm.co.il/sku/C140HQ-3","C140HQ-3")</f>
        <v>C140HQ-3</v>
      </c>
      <c r="B1246" t="s">
        <v>6</v>
      </c>
      <c r="C1246" s="2" t="s">
        <v>989</v>
      </c>
      <c r="D1246" s="32"/>
      <c r="E1246" s="35" t="s">
        <v>2538</v>
      </c>
    </row>
    <row r="1247" spans="1:5" x14ac:dyDescent="0.2">
      <c r="A1247" s="34" t="str">
        <f>HYPERLINK("http://www.daganm.co.il/sku/C140HQ-5","C140HQ-5")</f>
        <v>C140HQ-5</v>
      </c>
      <c r="B1247" t="s">
        <v>6</v>
      </c>
      <c r="C1247" s="2" t="s">
        <v>990</v>
      </c>
      <c r="D1247" s="32"/>
      <c r="E1247" s="35" t="s">
        <v>2539</v>
      </c>
    </row>
    <row r="1248" spans="1:5" x14ac:dyDescent="0.2">
      <c r="A1248" s="34" t="str">
        <f>HYPERLINK("http://www.daganm.co.il/sku/CBL140LC-1.8","CBL140LC-1.8")</f>
        <v>CBL140LC-1.8</v>
      </c>
      <c r="B1248" t="s">
        <v>6</v>
      </c>
      <c r="C1248" s="2" t="s">
        <v>991</v>
      </c>
      <c r="D1248" s="32"/>
      <c r="E1248" s="35" t="s">
        <v>2540</v>
      </c>
    </row>
    <row r="1249" spans="1:5" x14ac:dyDescent="0.2">
      <c r="A1249" s="34" t="str">
        <f>HYPERLINK("http://www.daganm.co.il/sku/CBL141-0.5","CBL141-0.5")</f>
        <v>CBL141-0.5</v>
      </c>
      <c r="B1249" t="s">
        <v>6</v>
      </c>
      <c r="C1249" s="2" t="s">
        <v>992</v>
      </c>
      <c r="D1249" s="32"/>
      <c r="E1249" s="35" t="s">
        <v>2541</v>
      </c>
    </row>
    <row r="1250" spans="1:5" x14ac:dyDescent="0.2">
      <c r="A1250" s="34" t="str">
        <f>HYPERLINK("http://www.daganm.co.il/sku/CBL141-1","CBL141-1")</f>
        <v>CBL141-1</v>
      </c>
      <c r="B1250" t="s">
        <v>6</v>
      </c>
      <c r="C1250" s="2" t="s">
        <v>993</v>
      </c>
      <c r="D1250" s="32"/>
      <c r="E1250" s="35" t="s">
        <v>2542</v>
      </c>
    </row>
    <row r="1251" spans="1:5" x14ac:dyDescent="0.2">
      <c r="A1251" s="34" t="str">
        <f>HYPERLINK("http://www.daganm.co.il/sku/CBL141-1.8","CBL141-1.8")</f>
        <v>CBL141-1.8</v>
      </c>
      <c r="B1251" t="s">
        <v>6</v>
      </c>
      <c r="C1251" s="2" t="s">
        <v>994</v>
      </c>
      <c r="D1251" s="32"/>
      <c r="E1251" s="35" t="s">
        <v>2543</v>
      </c>
    </row>
    <row r="1252" spans="1:5" x14ac:dyDescent="0.2">
      <c r="A1252" s="34" t="str">
        <f>HYPERLINK("http://www.daganm.co.il/sku/CBL141-3","CBL141-3")</f>
        <v>CBL141-3</v>
      </c>
      <c r="B1252" t="s">
        <v>6</v>
      </c>
      <c r="C1252" s="2" t="s">
        <v>995</v>
      </c>
      <c r="D1252" s="32"/>
      <c r="E1252" s="32" t="s">
        <v>2544</v>
      </c>
    </row>
    <row r="1253" spans="1:5" x14ac:dyDescent="0.2">
      <c r="A1253" s="34" t="str">
        <f>HYPERLINK("http://www.daganm.co.il/sku/CBL141-5","CBL141-5")</f>
        <v>CBL141-5</v>
      </c>
      <c r="B1253" t="s">
        <v>6</v>
      </c>
      <c r="C1253" s="2" t="s">
        <v>996</v>
      </c>
      <c r="D1253" s="32"/>
      <c r="E1253" s="35" t="s">
        <v>2545</v>
      </c>
    </row>
    <row r="1254" spans="1:5" x14ac:dyDescent="0.2">
      <c r="A1254" s="34" t="str">
        <f>HYPERLINK("http://www.daganm.co.il/sku/C141HQ-1","C141HQ-1")</f>
        <v>C141HQ-1</v>
      </c>
      <c r="B1254" t="s">
        <v>6</v>
      </c>
      <c r="C1254" s="2" t="s">
        <v>997</v>
      </c>
      <c r="D1254" s="32">
        <v>45442</v>
      </c>
      <c r="E1254" s="35" t="s">
        <v>2546</v>
      </c>
    </row>
    <row r="1255" spans="1:5" x14ac:dyDescent="0.2">
      <c r="A1255" s="34" t="str">
        <f>HYPERLINK("http://www.daganm.co.il/sku/C141HQ-2","C141HQ-2")</f>
        <v>C141HQ-2</v>
      </c>
      <c r="B1255" t="s">
        <v>6</v>
      </c>
      <c r="C1255" s="2" t="s">
        <v>998</v>
      </c>
      <c r="D1255" s="32"/>
      <c r="E1255" s="35" t="s">
        <v>2547</v>
      </c>
    </row>
    <row r="1256" spans="1:5" x14ac:dyDescent="0.2">
      <c r="A1256" s="34" t="str">
        <f>HYPERLINK("http://www.daganm.co.il/sku/C141HQ-3","C141HQ-3")</f>
        <v>C141HQ-3</v>
      </c>
      <c r="B1256" t="s">
        <v>6</v>
      </c>
      <c r="C1256" s="2" t="s">
        <v>999</v>
      </c>
      <c r="D1256" s="32"/>
      <c r="E1256" s="35" t="s">
        <v>2548</v>
      </c>
    </row>
    <row r="1257" spans="1:5" x14ac:dyDescent="0.2">
      <c r="A1257" s="34" t="str">
        <f>HYPERLINK("http://www.daganm.co.il/sku/C141HQ-5","C141HQ-5")</f>
        <v>C141HQ-5</v>
      </c>
      <c r="B1257" t="s">
        <v>6</v>
      </c>
      <c r="C1257" s="2" t="s">
        <v>1000</v>
      </c>
      <c r="D1257" s="32"/>
      <c r="E1257" s="35" t="s">
        <v>2549</v>
      </c>
    </row>
    <row r="1258" spans="1:5" x14ac:dyDescent="0.2">
      <c r="A1258" s="34" t="str">
        <f>HYPERLINK("http://www.daganm.co.il/sku/CBL141LC-1.8","CBL141LC-1.8")</f>
        <v>CBL141LC-1.8</v>
      </c>
      <c r="B1258" t="s">
        <v>6</v>
      </c>
      <c r="C1258" s="2" t="s">
        <v>1001</v>
      </c>
      <c r="D1258" s="32"/>
      <c r="E1258" s="35" t="s">
        <v>2550</v>
      </c>
    </row>
    <row r="1259" spans="1:5" x14ac:dyDescent="0.2">
      <c r="A1259" s="34" t="str">
        <f>HYPERLINK("http://www.daganm.co.il/sku/CBL141LC-3","CBL141LC-3")</f>
        <v>CBL141LC-3</v>
      </c>
      <c r="B1259" t="s">
        <v>6</v>
      </c>
      <c r="C1259" s="2" t="s">
        <v>1002</v>
      </c>
      <c r="D1259" s="32"/>
      <c r="E1259" s="35" t="s">
        <v>2551</v>
      </c>
    </row>
    <row r="1260" spans="1:5" x14ac:dyDescent="0.2">
      <c r="A1260" s="37" t="str">
        <f>HYPERLINK("http://www.daganm.co.il/sku/CBL141RA-1.8","CBL141RA-1.8")</f>
        <v>CBL141RA-1.8</v>
      </c>
      <c r="B1260" t="s">
        <v>6</v>
      </c>
      <c r="C1260" s="2" t="s">
        <v>4142</v>
      </c>
      <c r="D1260" s="32">
        <v>45442</v>
      </c>
      <c r="E1260" s="35" t="s">
        <v>4277</v>
      </c>
    </row>
    <row r="1261" spans="1:5" x14ac:dyDescent="0.2">
      <c r="A1261" s="34" t="str">
        <f>HYPERLINK("http://www.daganm.co.il/sku/CBL143-0.2","CBL143-0.2")</f>
        <v>CBL143-0.2</v>
      </c>
      <c r="B1261" t="s">
        <v>6</v>
      </c>
      <c r="C1261" s="2" t="s">
        <v>1003</v>
      </c>
      <c r="D1261" s="32"/>
      <c r="E1261" s="35" t="s">
        <v>2552</v>
      </c>
    </row>
    <row r="1262" spans="1:5" x14ac:dyDescent="0.2">
      <c r="A1262" s="34" t="str">
        <f>HYPERLINK("http://www.daganm.co.il/sku/CBL143-0.5","CBL143-0.5")</f>
        <v>CBL143-0.5</v>
      </c>
      <c r="B1262" t="s">
        <v>6</v>
      </c>
      <c r="C1262" s="2" t="s">
        <v>1004</v>
      </c>
      <c r="D1262" s="32"/>
      <c r="E1262" s="35" t="s">
        <v>2553</v>
      </c>
    </row>
    <row r="1263" spans="1:5" x14ac:dyDescent="0.2">
      <c r="A1263" s="34" t="str">
        <f>HYPERLINK("http://www.daganm.co.il/sku/CBL143-1","CBL143-1")</f>
        <v>CBL143-1</v>
      </c>
      <c r="B1263" t="s">
        <v>6</v>
      </c>
      <c r="C1263" s="2" t="s">
        <v>1005</v>
      </c>
      <c r="D1263" s="32"/>
      <c r="E1263" s="35" t="s">
        <v>2554</v>
      </c>
    </row>
    <row r="1264" spans="1:5" x14ac:dyDescent="0.2">
      <c r="A1264" s="34" t="str">
        <f>HYPERLINK("http://www.daganm.co.il/sku/CBL143-1.8","CBL143-1.8")</f>
        <v>CBL143-1.8</v>
      </c>
      <c r="B1264" t="s">
        <v>6</v>
      </c>
      <c r="C1264" s="2" t="s">
        <v>1006</v>
      </c>
      <c r="D1264" s="32"/>
      <c r="E1264" s="35" t="s">
        <v>2555</v>
      </c>
    </row>
    <row r="1265" spans="1:5" x14ac:dyDescent="0.2">
      <c r="A1265" s="34" t="str">
        <f>HYPERLINK("http://www.daganm.co.il/sku/CBL143-3","CBL143-3")</f>
        <v>CBL143-3</v>
      </c>
      <c r="B1265" t="s">
        <v>6</v>
      </c>
      <c r="C1265" s="2" t="s">
        <v>1007</v>
      </c>
      <c r="D1265" s="32"/>
      <c r="E1265" s="35" t="s">
        <v>2556</v>
      </c>
    </row>
    <row r="1266" spans="1:5" x14ac:dyDescent="0.2">
      <c r="A1266" s="34" t="str">
        <f>HYPERLINK("http://www.daganm.co.il/sku/CBL143-5","CBL143-5")</f>
        <v>CBL143-5</v>
      </c>
      <c r="B1266" t="s">
        <v>6</v>
      </c>
      <c r="C1266" s="2" t="s">
        <v>1008</v>
      </c>
      <c r="D1266" s="36"/>
      <c r="E1266" s="35" t="s">
        <v>2557</v>
      </c>
    </row>
    <row r="1267" spans="1:5" x14ac:dyDescent="0.2">
      <c r="A1267" s="34" t="str">
        <f>HYPERLINK("http://www.daganm.co.il/sku/C143HQ-1","C143HQ-1")</f>
        <v>C143HQ-1</v>
      </c>
      <c r="B1267" t="s">
        <v>6</v>
      </c>
      <c r="C1267" s="2" t="s">
        <v>1009</v>
      </c>
      <c r="D1267" s="32">
        <v>45442</v>
      </c>
      <c r="E1267" s="32" t="s">
        <v>2558</v>
      </c>
    </row>
    <row r="1268" spans="1:5" x14ac:dyDescent="0.2">
      <c r="A1268" s="34" t="str">
        <f>HYPERLINK("http://www.daganm.co.il/sku/C143HQ-2","C143HQ-2")</f>
        <v>C143HQ-2</v>
      </c>
      <c r="B1268" t="s">
        <v>6</v>
      </c>
      <c r="C1268" s="2" t="s">
        <v>1010</v>
      </c>
      <c r="D1268" s="32"/>
      <c r="E1268" s="35" t="s">
        <v>2559</v>
      </c>
    </row>
    <row r="1269" spans="1:5" x14ac:dyDescent="0.2">
      <c r="A1269" s="34" t="str">
        <f>HYPERLINK("http://www.daganm.co.il/sku/C143HQ-3","C143HQ-3")</f>
        <v>C143HQ-3</v>
      </c>
      <c r="B1269" t="s">
        <v>6</v>
      </c>
      <c r="C1269" s="2" t="s">
        <v>1011</v>
      </c>
      <c r="D1269" s="32"/>
      <c r="E1269" s="35" t="s">
        <v>2560</v>
      </c>
    </row>
    <row r="1270" spans="1:5" x14ac:dyDescent="0.2">
      <c r="A1270" s="34" t="str">
        <f>HYPERLINK("http://www.daganm.co.il/sku/C143HQ-5","C143HQ-5")</f>
        <v>C143HQ-5</v>
      </c>
      <c r="B1270" t="s">
        <v>6</v>
      </c>
      <c r="C1270" s="2" t="s">
        <v>1012</v>
      </c>
      <c r="D1270" s="32"/>
      <c r="E1270" s="35" t="s">
        <v>2561</v>
      </c>
    </row>
    <row r="1271" spans="1:5" x14ac:dyDescent="0.2">
      <c r="A1271" s="34" t="str">
        <f>HYPERLINK("http://www.daganm.co.il/sku/CBL143LC-1.8","CBL143LC-1.8")</f>
        <v>CBL143LC-1.8</v>
      </c>
      <c r="B1271" t="s">
        <v>6</v>
      </c>
      <c r="C1271" s="2" t="s">
        <v>1013</v>
      </c>
      <c r="D1271" s="32"/>
      <c r="E1271" s="35" t="s">
        <v>2562</v>
      </c>
    </row>
    <row r="1272" spans="1:5" x14ac:dyDescent="0.2">
      <c r="A1272" s="34" t="str">
        <f>HYPERLINK("http://www.daganm.co.il/sku/CBL143LC-3","CBL143LC-3")</f>
        <v>CBL143LC-3</v>
      </c>
      <c r="B1272" t="s">
        <v>6</v>
      </c>
      <c r="C1272" s="2" t="s">
        <v>1014</v>
      </c>
      <c r="D1272" s="32"/>
      <c r="E1272" s="35" t="s">
        <v>2563</v>
      </c>
    </row>
    <row r="1273" spans="1:5" x14ac:dyDescent="0.2">
      <c r="A1273" s="34" t="str">
        <f>HYPERLINK("http://www.daganm.co.il/sku/CBL143LA-0.2","CBL143LA-0.2")</f>
        <v>CBL143LA-0.2</v>
      </c>
      <c r="B1273" t="s">
        <v>6</v>
      </c>
      <c r="C1273" s="2" t="s">
        <v>1015</v>
      </c>
      <c r="D1273" s="32"/>
      <c r="E1273" s="35" t="s">
        <v>2564</v>
      </c>
    </row>
    <row r="1274" spans="1:5" x14ac:dyDescent="0.2">
      <c r="A1274" s="34" t="str">
        <f>HYPERLINK("http://www.daganm.co.il/sku/CBL143RA-0.2","CBL143RA-0.2")</f>
        <v>CBL143RA-0.2</v>
      </c>
      <c r="B1274" t="s">
        <v>6</v>
      </c>
      <c r="C1274" s="2" t="s">
        <v>1016</v>
      </c>
      <c r="D1274" s="32"/>
      <c r="E1274" s="35" t="s">
        <v>2565</v>
      </c>
    </row>
    <row r="1275" spans="1:5" x14ac:dyDescent="0.2">
      <c r="A1275" s="34" t="str">
        <f>HYPERLINK("http://www.daganm.co.il/sku/CABLE-143P/0.5","CABLE-143P/0.5")</f>
        <v>CABLE-143P/0.5</v>
      </c>
      <c r="B1275" t="s">
        <v>6</v>
      </c>
      <c r="C1275" s="2" t="s">
        <v>1017</v>
      </c>
      <c r="D1275" s="32"/>
      <c r="E1275" s="35" t="s">
        <v>2566</v>
      </c>
    </row>
    <row r="1276" spans="1:5" x14ac:dyDescent="0.2">
      <c r="A1276" s="34" t="str">
        <f>HYPERLINK("http://www.daganm.co.il/sku/CABLE-143P/1","CABLE-143P/1")</f>
        <v>CABLE-143P/1</v>
      </c>
      <c r="B1276" t="s">
        <v>6</v>
      </c>
      <c r="C1276" s="2" t="s">
        <v>1018</v>
      </c>
      <c r="D1276" s="32"/>
      <c r="E1276" s="35" t="s">
        <v>2567</v>
      </c>
    </row>
    <row r="1277" spans="1:5" x14ac:dyDescent="0.2">
      <c r="A1277" s="34" t="str">
        <f>HYPERLINK("http://www.daganm.co.il/sku/CABLE-143P/1.8","CABLE-143P/1.8")</f>
        <v>CABLE-143P/1.8</v>
      </c>
      <c r="B1277" t="s">
        <v>6</v>
      </c>
      <c r="C1277" s="2" t="s">
        <v>1019</v>
      </c>
      <c r="D1277" s="32"/>
      <c r="E1277" s="35" t="s">
        <v>2568</v>
      </c>
    </row>
    <row r="1278" spans="1:5" x14ac:dyDescent="0.2">
      <c r="A1278" s="34" t="str">
        <f>HYPERLINK("http://www.daganm.co.il/sku/CABLE-143P/3","CABLE-143P/3")</f>
        <v>CABLE-143P/3</v>
      </c>
      <c r="B1278" t="s">
        <v>6</v>
      </c>
      <c r="C1278" s="2" t="s">
        <v>1020</v>
      </c>
      <c r="D1278" s="32"/>
      <c r="E1278" s="35" t="s">
        <v>2569</v>
      </c>
    </row>
    <row r="1279" spans="1:5" x14ac:dyDescent="0.2">
      <c r="A1279" s="34" t="str">
        <f>HYPERLINK("http://www.daganm.co.il/sku/CABLE-143PF-0.2","CABLE-143PF-0.2")</f>
        <v>CABLE-143PF-0.2</v>
      </c>
      <c r="B1279" t="s">
        <v>6</v>
      </c>
      <c r="C1279" s="2" t="s">
        <v>1021</v>
      </c>
      <c r="D1279" s="32"/>
      <c r="E1279" s="35" t="s">
        <v>2570</v>
      </c>
    </row>
    <row r="1280" spans="1:5" x14ac:dyDescent="0.2">
      <c r="A1280" s="34" t="str">
        <f>HYPERLINK("http://www.daganm.co.il/sku/CBL142FMM","CBL142FMM")</f>
        <v>CBL142FMM</v>
      </c>
      <c r="B1280" t="s">
        <v>6</v>
      </c>
      <c r="C1280" s="2" t="s">
        <v>1022</v>
      </c>
      <c r="D1280" s="32"/>
      <c r="E1280" s="35" t="s">
        <v>2571</v>
      </c>
    </row>
    <row r="1281" spans="1:5" x14ac:dyDescent="0.2">
      <c r="A1281" s="34" t="str">
        <f>HYPERLINK("http://www.daganm.co.il/sku/CBL142MFF","CBL142MFF")</f>
        <v>CBL142MFF</v>
      </c>
      <c r="B1281" t="s">
        <v>6</v>
      </c>
      <c r="C1281" s="2" t="s">
        <v>1023</v>
      </c>
      <c r="D1281" s="32"/>
      <c r="E1281" s="35" t="s">
        <v>2572</v>
      </c>
    </row>
    <row r="1282" spans="1:5" x14ac:dyDescent="0.2">
      <c r="B1282"/>
      <c r="C1282" s="33" t="s">
        <v>54</v>
      </c>
      <c r="D1282" s="32"/>
      <c r="E1282" s="35"/>
    </row>
    <row r="1283" spans="1:5" x14ac:dyDescent="0.2">
      <c r="A1283" s="34" t="str">
        <f>HYPERLINK("http://www.daganm.co.il/sku/CABLE-147/5M","CABLE-147/5M")</f>
        <v>CABLE-147/5M</v>
      </c>
      <c r="B1283" t="s">
        <v>6</v>
      </c>
      <c r="C1283" s="2" t="s">
        <v>1024</v>
      </c>
      <c r="D1283" s="32"/>
      <c r="E1283" s="35" t="s">
        <v>2573</v>
      </c>
    </row>
    <row r="1284" spans="1:5" x14ac:dyDescent="0.2">
      <c r="A1284" s="34" t="str">
        <f>HYPERLINK("http://www.daganm.co.il/sku/CABLE-147/10M","CABLE-147/10M")</f>
        <v>CABLE-147/10M</v>
      </c>
      <c r="B1284" t="s">
        <v>6</v>
      </c>
      <c r="C1284" s="2" t="s">
        <v>1025</v>
      </c>
      <c r="D1284" s="32"/>
      <c r="E1284" s="35" t="s">
        <v>2574</v>
      </c>
    </row>
    <row r="1285" spans="1:5" x14ac:dyDescent="0.2">
      <c r="A1285" s="34" t="str">
        <f>HYPERLINK("http://www.daganm.co.il/sku/CABLE-147/15M","CABLE-147/15M")</f>
        <v>CABLE-147/15M</v>
      </c>
      <c r="B1285" t="s">
        <v>6</v>
      </c>
      <c r="C1285" s="2" t="s">
        <v>1026</v>
      </c>
      <c r="D1285" s="32"/>
      <c r="E1285" s="35" t="s">
        <v>2575</v>
      </c>
    </row>
    <row r="1286" spans="1:5" x14ac:dyDescent="0.2">
      <c r="A1286" s="34" t="str">
        <f>HYPERLINK("http://www.daganm.co.il/sku/CABLE-147/20M","CABLE-147/20M")</f>
        <v>CABLE-147/20M</v>
      </c>
      <c r="B1286" t="s">
        <v>6</v>
      </c>
      <c r="C1286" s="2" t="s">
        <v>1027</v>
      </c>
      <c r="D1286" s="32"/>
      <c r="E1286" s="35" t="s">
        <v>2576</v>
      </c>
    </row>
    <row r="1287" spans="1:5" x14ac:dyDescent="0.2">
      <c r="A1287" s="34" t="str">
        <f>HYPERLINK("http://www.daganm.co.il/sku/CABLE-147/25M","CABLE-147/25M")</f>
        <v>CABLE-147/25M</v>
      </c>
      <c r="B1287" t="s">
        <v>6</v>
      </c>
      <c r="C1287" s="2" t="s">
        <v>1028</v>
      </c>
      <c r="D1287" s="32"/>
      <c r="E1287" s="35" t="s">
        <v>2577</v>
      </c>
    </row>
    <row r="1288" spans="1:5" x14ac:dyDescent="0.2">
      <c r="A1288" s="34" t="str">
        <f>HYPERLINK("http://www.daganm.co.il/sku/CABLE-147/30M","CABLE-147/30M")</f>
        <v>CABLE-147/30M</v>
      </c>
      <c r="B1288" t="s">
        <v>6</v>
      </c>
      <c r="C1288" s="2" t="s">
        <v>1029</v>
      </c>
      <c r="D1288" s="32">
        <v>45442</v>
      </c>
      <c r="E1288" s="35" t="s">
        <v>2578</v>
      </c>
    </row>
    <row r="1289" spans="1:5" x14ac:dyDescent="0.2">
      <c r="A1289" s="34" t="str">
        <f>HYPERLINK("http://www.daganm.co.il/sku/CABLE-147/5LC","CABLE-147/5LC")</f>
        <v>CABLE-147/5LC</v>
      </c>
      <c r="B1289" t="s">
        <v>6</v>
      </c>
      <c r="C1289" s="2" t="s">
        <v>3327</v>
      </c>
      <c r="D1289" s="36"/>
      <c r="E1289" s="35" t="s">
        <v>3461</v>
      </c>
    </row>
    <row r="1290" spans="1:5" x14ac:dyDescent="0.2">
      <c r="A1290" s="34" t="str">
        <f>HYPERLINK("http://www.daganm.co.il/sku/CABLE-147/10LC","CABLE-147/10LC")</f>
        <v>CABLE-147/10LC</v>
      </c>
      <c r="B1290" t="s">
        <v>6</v>
      </c>
      <c r="C1290" s="2" t="s">
        <v>3328</v>
      </c>
      <c r="D1290" s="32"/>
      <c r="E1290" s="35" t="s">
        <v>3462</v>
      </c>
    </row>
    <row r="1291" spans="1:5" x14ac:dyDescent="0.2">
      <c r="A1291" s="34" t="str">
        <f>HYPERLINK("http://www.daganm.co.il/sku/CBL148-5","CBL148-5")</f>
        <v>CBL148-5</v>
      </c>
      <c r="B1291" t="s">
        <v>6</v>
      </c>
      <c r="C1291" s="2" t="s">
        <v>1030</v>
      </c>
      <c r="D1291" s="32"/>
      <c r="E1291" s="35" t="s">
        <v>2579</v>
      </c>
    </row>
    <row r="1292" spans="1:5" x14ac:dyDescent="0.2">
      <c r="A1292" s="34" t="str">
        <f>HYPERLINK("http://www.daganm.co.il/sku/CBL148-10","CBL148-10")</f>
        <v>CBL148-10</v>
      </c>
      <c r="B1292" t="s">
        <v>6</v>
      </c>
      <c r="C1292" s="2" t="s">
        <v>1031</v>
      </c>
      <c r="D1292" s="32"/>
      <c r="E1292" s="35" t="s">
        <v>2580</v>
      </c>
    </row>
    <row r="1293" spans="1:5" x14ac:dyDescent="0.2">
      <c r="A1293" s="34" t="str">
        <f>HYPERLINK("http://www.daganm.co.il/sku/CBL148-15","CBL148-15")</f>
        <v>CBL148-15</v>
      </c>
      <c r="B1293" t="s">
        <v>6</v>
      </c>
      <c r="C1293" s="2" t="s">
        <v>1032</v>
      </c>
      <c r="D1293" s="32">
        <v>45442</v>
      </c>
      <c r="E1293" s="35" t="s">
        <v>2581</v>
      </c>
    </row>
    <row r="1294" spans="1:5" x14ac:dyDescent="0.2">
      <c r="A1294" s="34" t="str">
        <f>HYPERLINK("http://www.daganm.co.il/sku/CBL148-20","CBL148-20")</f>
        <v>CBL148-20</v>
      </c>
      <c r="B1294" t="s">
        <v>6</v>
      </c>
      <c r="C1294" s="2" t="s">
        <v>1033</v>
      </c>
      <c r="D1294" s="32">
        <v>45442</v>
      </c>
      <c r="E1294" s="32" t="s">
        <v>2582</v>
      </c>
    </row>
    <row r="1295" spans="1:5" x14ac:dyDescent="0.2">
      <c r="A1295" s="34" t="str">
        <f>HYPERLINK("http://www.daganm.co.il/sku/CABLE-141/10","CABLE-141/10")</f>
        <v>CABLE-141/10</v>
      </c>
      <c r="B1295" t="s">
        <v>6</v>
      </c>
      <c r="C1295" s="2" t="s">
        <v>1034</v>
      </c>
      <c r="D1295" s="32"/>
      <c r="E1295" s="35" t="s">
        <v>2583</v>
      </c>
    </row>
    <row r="1296" spans="1:5" x14ac:dyDescent="0.2">
      <c r="A1296" s="34" t="str">
        <f>HYPERLINK("http://www.daganm.co.il/sku/CABLE-141/15","CABLE-141/15")</f>
        <v>CABLE-141/15</v>
      </c>
      <c r="B1296" t="s">
        <v>6</v>
      </c>
      <c r="C1296" s="2" t="s">
        <v>3796</v>
      </c>
      <c r="D1296" s="32"/>
      <c r="E1296" s="35" t="s">
        <v>4006</v>
      </c>
    </row>
    <row r="1297" spans="1:5" x14ac:dyDescent="0.2">
      <c r="B1297"/>
      <c r="C1297" s="33" t="s">
        <v>55</v>
      </c>
      <c r="D1297" s="32"/>
      <c r="E1297" s="35"/>
    </row>
    <row r="1298" spans="1:5" x14ac:dyDescent="0.2">
      <c r="A1298" s="34" t="str">
        <f>HYPERLINK("http://www.daganm.co.il/sku/CBL167-0.25","CBL167-0.25")</f>
        <v>CBL167-0.25</v>
      </c>
      <c r="B1298" t="s">
        <v>6</v>
      </c>
      <c r="C1298" s="2" t="s">
        <v>1035</v>
      </c>
      <c r="D1298" s="32"/>
      <c r="E1298" s="35" t="s">
        <v>2584</v>
      </c>
    </row>
    <row r="1299" spans="1:5" x14ac:dyDescent="0.2">
      <c r="A1299" s="34" t="str">
        <f>HYPERLINK("http://www.daganm.co.il/sku/CBL167-0.5","CBL167-0.5")</f>
        <v>CBL167-0.5</v>
      </c>
      <c r="B1299" t="s">
        <v>6</v>
      </c>
      <c r="C1299" s="2" t="s">
        <v>1036</v>
      </c>
      <c r="D1299" s="32"/>
      <c r="E1299" s="35" t="s">
        <v>2585</v>
      </c>
    </row>
    <row r="1300" spans="1:5" x14ac:dyDescent="0.2">
      <c r="A1300" s="34" t="str">
        <f>HYPERLINK("http://www.daganm.co.il/sku/CBL167-1","CBL167-1")</f>
        <v>CBL167-1</v>
      </c>
      <c r="B1300" t="s">
        <v>6</v>
      </c>
      <c r="C1300" s="2" t="s">
        <v>1037</v>
      </c>
      <c r="D1300" s="32"/>
      <c r="E1300" s="35" t="s">
        <v>2586</v>
      </c>
    </row>
    <row r="1301" spans="1:5" x14ac:dyDescent="0.2">
      <c r="A1301" s="34" t="str">
        <f>HYPERLINK("http://www.daganm.co.il/sku/CBL167-1.8","CBL167-1.8")</f>
        <v>CBL167-1.8</v>
      </c>
      <c r="B1301" t="s">
        <v>6</v>
      </c>
      <c r="C1301" s="2" t="s">
        <v>1038</v>
      </c>
      <c r="D1301" s="32"/>
      <c r="E1301" s="35" t="s">
        <v>2587</v>
      </c>
    </row>
    <row r="1302" spans="1:5" x14ac:dyDescent="0.2">
      <c r="A1302" s="34" t="str">
        <f>HYPERLINK("http://www.daganm.co.il/sku/CBL167-3","CBL167-3")</f>
        <v>CBL167-3</v>
      </c>
      <c r="B1302" t="s">
        <v>6</v>
      </c>
      <c r="C1302" s="2" t="s">
        <v>1039</v>
      </c>
      <c r="D1302" s="32"/>
      <c r="E1302" s="35" t="s">
        <v>2588</v>
      </c>
    </row>
    <row r="1303" spans="1:5" x14ac:dyDescent="0.2">
      <c r="A1303" s="34" t="str">
        <f>HYPERLINK("http://www.daganm.co.il/sku/C167HQ-0.5","C167HQ-0.5")</f>
        <v>C167HQ-0.5</v>
      </c>
      <c r="B1303" t="s">
        <v>6</v>
      </c>
      <c r="C1303" s="2" t="s">
        <v>1040</v>
      </c>
      <c r="D1303" s="32">
        <v>45442</v>
      </c>
      <c r="E1303" s="35" t="s">
        <v>1660</v>
      </c>
    </row>
    <row r="1304" spans="1:5" x14ac:dyDescent="0.2">
      <c r="A1304" s="34" t="str">
        <f>HYPERLINK("http://www.daganm.co.il/sku/C167HQ-1","C167HQ-1")</f>
        <v>C167HQ-1</v>
      </c>
      <c r="B1304" t="s">
        <v>6</v>
      </c>
      <c r="C1304" s="2" t="s">
        <v>1041</v>
      </c>
      <c r="D1304" s="32"/>
      <c r="E1304" s="35" t="s">
        <v>2589</v>
      </c>
    </row>
    <row r="1305" spans="1:5" x14ac:dyDescent="0.2">
      <c r="A1305" s="34" t="str">
        <f>HYPERLINK("http://www.daganm.co.il/sku/C167HQ-2","C167HQ-2")</f>
        <v>C167HQ-2</v>
      </c>
      <c r="B1305" t="s">
        <v>6</v>
      </c>
      <c r="C1305" s="2" t="s">
        <v>1042</v>
      </c>
      <c r="D1305" s="32"/>
      <c r="E1305" s="35" t="s">
        <v>2590</v>
      </c>
    </row>
    <row r="1306" spans="1:5" x14ac:dyDescent="0.2">
      <c r="A1306" s="34" t="str">
        <f>HYPERLINK("http://www.daganm.co.il/sku/C167HQ-3","C167HQ-3")</f>
        <v>C167HQ-3</v>
      </c>
      <c r="B1306" t="s">
        <v>6</v>
      </c>
      <c r="C1306" s="2" t="s">
        <v>1043</v>
      </c>
      <c r="D1306" s="32"/>
      <c r="E1306" s="35" t="s">
        <v>2591</v>
      </c>
    </row>
    <row r="1307" spans="1:5" x14ac:dyDescent="0.2">
      <c r="A1307" s="34" t="str">
        <f>HYPERLINK("http://www.daganm.co.il/sku/C167HQ-5","C167HQ-5")</f>
        <v>C167HQ-5</v>
      </c>
      <c r="B1307" t="s">
        <v>6</v>
      </c>
      <c r="C1307" s="2" t="s">
        <v>1044</v>
      </c>
      <c r="D1307" s="32"/>
      <c r="E1307" s="35" t="s">
        <v>2592</v>
      </c>
    </row>
    <row r="1308" spans="1:5" x14ac:dyDescent="0.2">
      <c r="A1308" s="34" t="str">
        <f>HYPERLINK("http://www.daganm.co.il/sku/CABLE-167RA-1.8","CABLE-167RA-1.8")</f>
        <v>CABLE-167RA-1.8</v>
      </c>
      <c r="B1308" t="s">
        <v>6</v>
      </c>
      <c r="C1308" s="2" t="s">
        <v>1045</v>
      </c>
      <c r="D1308" s="32"/>
      <c r="E1308" s="35" t="s">
        <v>2593</v>
      </c>
    </row>
    <row r="1309" spans="1:5" x14ac:dyDescent="0.2">
      <c r="A1309" s="34" t="str">
        <f>HYPERLINK("http://www.daganm.co.il/sku/CABLE-167OTG","CABLE-167OTG")</f>
        <v>CABLE-167OTG</v>
      </c>
      <c r="B1309" t="s">
        <v>6</v>
      </c>
      <c r="C1309" s="2" t="s">
        <v>1046</v>
      </c>
      <c r="D1309" s="32"/>
      <c r="E1309" s="35" t="s">
        <v>2594</v>
      </c>
    </row>
    <row r="1310" spans="1:5" x14ac:dyDescent="0.2">
      <c r="A1310" s="34" t="str">
        <f>HYPERLINK("http://www.daganm.co.il/sku/CABLE-167OTGRA","CABLE-167OTGRA")</f>
        <v>CABLE-167OTGRA</v>
      </c>
      <c r="B1310" t="s">
        <v>6</v>
      </c>
      <c r="C1310" s="2" t="s">
        <v>1047</v>
      </c>
      <c r="D1310" s="32"/>
      <c r="E1310" s="35" t="s">
        <v>2595</v>
      </c>
    </row>
    <row r="1311" spans="1:5" x14ac:dyDescent="0.2">
      <c r="A1311" s="34" t="str">
        <f>HYPERLINK("http://www.daganm.co.il/sku/OTGHUB10","OTGHUB10")</f>
        <v>OTGHUB10</v>
      </c>
      <c r="B1311" t="s">
        <v>6</v>
      </c>
      <c r="C1311" s="2" t="s">
        <v>1048</v>
      </c>
      <c r="D1311" s="32"/>
      <c r="E1311" s="35" t="s">
        <v>2596</v>
      </c>
    </row>
    <row r="1312" spans="1:5" x14ac:dyDescent="0.2">
      <c r="A1312" s="34" t="str">
        <f>HYPERLINK("http://www.daganm.co.il/sku/OTGHUB21","OTGHUB21")</f>
        <v>OTGHUB21</v>
      </c>
      <c r="B1312" t="s">
        <v>6</v>
      </c>
      <c r="C1312" s="2" t="s">
        <v>1094</v>
      </c>
      <c r="D1312" s="32"/>
      <c r="E1312" s="35" t="s">
        <v>2684</v>
      </c>
    </row>
    <row r="1313" spans="1:5" x14ac:dyDescent="0.2">
      <c r="A1313" s="34" t="str">
        <f>HYPERLINK("http://www.daganm.co.il/sku/CABLE-167EX-1","CABLE-167EX-1")</f>
        <v>CABLE-167EX-1</v>
      </c>
      <c r="B1313" t="s">
        <v>6</v>
      </c>
      <c r="C1313" s="2" t="s">
        <v>1049</v>
      </c>
      <c r="D1313" s="32"/>
      <c r="E1313" s="35" t="s">
        <v>2597</v>
      </c>
    </row>
    <row r="1314" spans="1:5" x14ac:dyDescent="0.2">
      <c r="A1314" s="34" t="str">
        <f>HYPERLINK("http://www.daganm.co.il/sku/CABLE-166-1.8","CABLE-166-1.8")</f>
        <v>CABLE-166-1.8</v>
      </c>
      <c r="B1314" t="s">
        <v>6</v>
      </c>
      <c r="C1314" s="2" t="s">
        <v>1050</v>
      </c>
      <c r="D1314" s="32"/>
      <c r="E1314" s="35" t="s">
        <v>2598</v>
      </c>
    </row>
    <row r="1315" spans="1:5" x14ac:dyDescent="0.2">
      <c r="A1315" s="34" t="str">
        <f>HYPERLINK("http://www.daganm.co.il/sku/CBL161-0.5","CBL161-0.5")</f>
        <v>CBL161-0.5</v>
      </c>
      <c r="B1315" t="s">
        <v>6</v>
      </c>
      <c r="C1315" s="2" t="s">
        <v>1051</v>
      </c>
      <c r="D1315" s="36"/>
      <c r="E1315" s="35" t="s">
        <v>3463</v>
      </c>
    </row>
    <row r="1316" spans="1:5" x14ac:dyDescent="0.2">
      <c r="A1316" s="34" t="str">
        <f>HYPERLINK("http://www.daganm.co.il/sku/CBL161-1","CBL161-1")</f>
        <v>CBL161-1</v>
      </c>
      <c r="B1316" t="s">
        <v>6</v>
      </c>
      <c r="C1316" s="2" t="s">
        <v>1052</v>
      </c>
      <c r="D1316" s="32"/>
      <c r="E1316" s="35" t="s">
        <v>3464</v>
      </c>
    </row>
    <row r="1317" spans="1:5" x14ac:dyDescent="0.2">
      <c r="A1317" s="34" t="str">
        <f>HYPERLINK("http://www.daganm.co.il/sku/CBL161-1.8","CBL161-1.8")</f>
        <v>CBL161-1.8</v>
      </c>
      <c r="B1317" t="s">
        <v>6</v>
      </c>
      <c r="C1317" s="2" t="s">
        <v>1053</v>
      </c>
      <c r="D1317" s="32"/>
      <c r="E1317" s="35" t="s">
        <v>3465</v>
      </c>
    </row>
    <row r="1318" spans="1:5" x14ac:dyDescent="0.2">
      <c r="A1318" s="34" t="str">
        <f>HYPERLINK("http://www.daganm.co.il/sku/CBL161-3","CBL161-3")</f>
        <v>CBL161-3</v>
      </c>
      <c r="B1318" t="s">
        <v>6</v>
      </c>
      <c r="C1318" s="2" t="s">
        <v>1054</v>
      </c>
      <c r="D1318" s="32"/>
      <c r="E1318" s="35" t="s">
        <v>3466</v>
      </c>
    </row>
    <row r="1319" spans="1:5" x14ac:dyDescent="0.2">
      <c r="A1319" s="34" t="str">
        <f>HYPERLINK("http://www.daganm.co.il/sku/CBL161-5","CBL161-5")</f>
        <v>CBL161-5</v>
      </c>
      <c r="B1319" t="s">
        <v>6</v>
      </c>
      <c r="C1319" s="2" t="s">
        <v>1055</v>
      </c>
      <c r="D1319" s="32"/>
      <c r="E1319" s="35" t="s">
        <v>3467</v>
      </c>
    </row>
    <row r="1320" spans="1:5" x14ac:dyDescent="0.2">
      <c r="A1320" s="34" t="str">
        <f>HYPERLINK("http://www.daganm.co.il/sku/C161HQ-1","C161HQ-1")</f>
        <v>C161HQ-1</v>
      </c>
      <c r="B1320" t="s">
        <v>6</v>
      </c>
      <c r="C1320" s="2" t="s">
        <v>1056</v>
      </c>
      <c r="D1320" s="32"/>
      <c r="E1320" s="35" t="s">
        <v>2599</v>
      </c>
    </row>
    <row r="1321" spans="1:5" x14ac:dyDescent="0.2">
      <c r="A1321" s="34" t="str">
        <f>HYPERLINK("http://www.daganm.co.il/sku/C161HQ-2","C161HQ-2")</f>
        <v>C161HQ-2</v>
      </c>
      <c r="B1321" t="s">
        <v>6</v>
      </c>
      <c r="C1321" s="2" t="s">
        <v>1057</v>
      </c>
      <c r="D1321" s="32"/>
      <c r="E1321" s="35" t="s">
        <v>2600</v>
      </c>
    </row>
    <row r="1322" spans="1:5" x14ac:dyDescent="0.2">
      <c r="A1322" s="34" t="str">
        <f>HYPERLINK("http://www.daganm.co.il/sku/CABLE-161OTG","CABLE-161OTG")</f>
        <v>CABLE-161OTG</v>
      </c>
      <c r="B1322" t="s">
        <v>6</v>
      </c>
      <c r="C1322" s="2" t="s">
        <v>1058</v>
      </c>
      <c r="D1322" s="32"/>
      <c r="E1322" s="35" t="s">
        <v>2601</v>
      </c>
    </row>
    <row r="1323" spans="1:5" x14ac:dyDescent="0.2">
      <c r="B1323"/>
      <c r="C1323" s="33" t="s">
        <v>56</v>
      </c>
      <c r="D1323" s="32"/>
      <c r="E1323" s="32"/>
    </row>
    <row r="1324" spans="1:5" x14ac:dyDescent="0.2">
      <c r="A1324" s="34" t="str">
        <f>HYPERLINK("http://www.daganm.co.il/sku/CABLE-1130-0.5","CABLE-1130-0.5")</f>
        <v>CABLE-1130-0.5</v>
      </c>
      <c r="B1324" t="s">
        <v>6</v>
      </c>
      <c r="C1324" s="2" t="s">
        <v>1059</v>
      </c>
      <c r="D1324" s="32"/>
      <c r="E1324" s="35" t="s">
        <v>2602</v>
      </c>
    </row>
    <row r="1325" spans="1:5" x14ac:dyDescent="0.2">
      <c r="A1325" s="34" t="str">
        <f>HYPERLINK("http://www.daganm.co.il/sku/CABLE-1130-1","CABLE-1130-1")</f>
        <v>CABLE-1130-1</v>
      </c>
      <c r="B1325" t="s">
        <v>6</v>
      </c>
      <c r="C1325" s="2" t="s">
        <v>1060</v>
      </c>
      <c r="D1325" s="32"/>
      <c r="E1325" s="35" t="s">
        <v>2603</v>
      </c>
    </row>
    <row r="1326" spans="1:5" x14ac:dyDescent="0.2">
      <c r="A1326" s="34" t="str">
        <f>HYPERLINK("http://www.daganm.co.il/sku/CABLE-1130-1.5","CABLE-1130-1.5")</f>
        <v>CABLE-1130-1.5</v>
      </c>
      <c r="B1326" t="s">
        <v>6</v>
      </c>
      <c r="C1326" s="2" t="s">
        <v>3797</v>
      </c>
      <c r="D1326" s="32"/>
      <c r="E1326" s="35" t="s">
        <v>2604</v>
      </c>
    </row>
    <row r="1327" spans="1:5" x14ac:dyDescent="0.2">
      <c r="A1327" s="34" t="str">
        <f>HYPERLINK("http://www.daganm.co.il/sku/CABLE-1130-1.8","CABLE-1130-1.8")</f>
        <v>CABLE-1130-1.8</v>
      </c>
      <c r="B1327" t="s">
        <v>6</v>
      </c>
      <c r="C1327" s="2" t="s">
        <v>1061</v>
      </c>
      <c r="D1327" s="32"/>
      <c r="E1327" s="35" t="s">
        <v>2604</v>
      </c>
    </row>
    <row r="1328" spans="1:5" x14ac:dyDescent="0.2">
      <c r="A1328" s="34" t="str">
        <f>HYPERLINK("http://www.daganm.co.il/sku/CABLE-1130-3.0","CABLE-1130-3.0")</f>
        <v>CABLE-1130-3.0</v>
      </c>
      <c r="B1328" t="s">
        <v>6</v>
      </c>
      <c r="C1328" s="2" t="s">
        <v>1062</v>
      </c>
      <c r="D1328" s="32"/>
      <c r="E1328" s="35" t="s">
        <v>2605</v>
      </c>
    </row>
    <row r="1329" spans="1:5" x14ac:dyDescent="0.2">
      <c r="A1329" s="34" t="str">
        <f>HYPERLINK("http://www.daganm.co.il/sku/CABLE-1130-5","CABLE-1130-5")</f>
        <v>CABLE-1130-5</v>
      </c>
      <c r="B1329" t="s">
        <v>6</v>
      </c>
      <c r="C1329" s="2" t="s">
        <v>1063</v>
      </c>
      <c r="D1329" s="32"/>
      <c r="E1329" s="35" t="s">
        <v>2606</v>
      </c>
    </row>
    <row r="1330" spans="1:5" x14ac:dyDescent="0.2">
      <c r="A1330" s="34" t="str">
        <f>HYPERLINK("http://www.daganm.co.il/sku/CABLE-1131-0.2","CABLE-1131-0.2")</f>
        <v>CABLE-1131-0.2</v>
      </c>
      <c r="B1330" t="s">
        <v>6</v>
      </c>
      <c r="C1330" s="2" t="s">
        <v>3329</v>
      </c>
      <c r="D1330" s="32"/>
      <c r="E1330" s="35" t="s">
        <v>3468</v>
      </c>
    </row>
    <row r="1331" spans="1:5" x14ac:dyDescent="0.2">
      <c r="A1331" s="34" t="str">
        <f>HYPERLINK("http://www.daganm.co.il/sku/CABLE-1131-0.5","CABLE-1131-0.5")</f>
        <v>CABLE-1131-0.5</v>
      </c>
      <c r="B1331" t="s">
        <v>6</v>
      </c>
      <c r="C1331" s="2" t="s">
        <v>1064</v>
      </c>
      <c r="D1331" s="36"/>
      <c r="E1331" s="35" t="s">
        <v>2607</v>
      </c>
    </row>
    <row r="1332" spans="1:5" x14ac:dyDescent="0.2">
      <c r="A1332" s="34" t="str">
        <f>HYPERLINK("http://www.daganm.co.il/sku/CABLE-1131-1","CABLE-1131-1")</f>
        <v>CABLE-1131-1</v>
      </c>
      <c r="B1332" t="s">
        <v>6</v>
      </c>
      <c r="C1332" s="2" t="s">
        <v>1065</v>
      </c>
      <c r="D1332" s="36"/>
      <c r="E1332" s="35" t="s">
        <v>2608</v>
      </c>
    </row>
    <row r="1333" spans="1:5" x14ac:dyDescent="0.2">
      <c r="A1333" s="34" t="str">
        <f>HYPERLINK("http://www.daganm.co.il/sku/CABLE-1131-1.8","CABLE-1131-1.8")</f>
        <v>CABLE-1131-1.8</v>
      </c>
      <c r="B1333" t="s">
        <v>6</v>
      </c>
      <c r="C1333" s="2" t="s">
        <v>1066</v>
      </c>
      <c r="D1333" s="32"/>
      <c r="E1333" s="35" t="s">
        <v>2609</v>
      </c>
    </row>
    <row r="1334" spans="1:5" x14ac:dyDescent="0.2">
      <c r="A1334" s="34" t="str">
        <f>HYPERLINK("http://www.daganm.co.il/sku/CABLE-1131-3.0","CABLE-1131-3.0")</f>
        <v>CABLE-1131-3.0</v>
      </c>
      <c r="B1334" t="s">
        <v>6</v>
      </c>
      <c r="C1334" s="2" t="s">
        <v>1067</v>
      </c>
      <c r="D1334" s="32"/>
      <c r="E1334" s="35" t="s">
        <v>2610</v>
      </c>
    </row>
    <row r="1335" spans="1:5" x14ac:dyDescent="0.2">
      <c r="A1335" s="34" t="str">
        <f>HYPERLINK("http://www.daganm.co.il/sku/CABLE-1131-5.0","CABLE-1131-5.0")</f>
        <v>CABLE-1131-5.0</v>
      </c>
      <c r="B1335" t="s">
        <v>6</v>
      </c>
      <c r="C1335" s="2" t="s">
        <v>1068</v>
      </c>
      <c r="D1335" s="36">
        <v>45442</v>
      </c>
      <c r="E1335" s="35" t="s">
        <v>2611</v>
      </c>
    </row>
    <row r="1336" spans="1:5" x14ac:dyDescent="0.2">
      <c r="A1336" s="34" t="str">
        <f>HYPERLINK("http://www.daganm.co.il/sku/CABLE-1131P-0.5","CABLE-1131P-0.5")</f>
        <v>CABLE-1131P-0.5</v>
      </c>
      <c r="B1336" t="s">
        <v>6</v>
      </c>
      <c r="C1336" s="2" t="s">
        <v>1069</v>
      </c>
      <c r="D1336" s="32"/>
      <c r="E1336" s="35" t="s">
        <v>2612</v>
      </c>
    </row>
    <row r="1337" spans="1:5" x14ac:dyDescent="0.2">
      <c r="A1337" s="34" t="str">
        <f>HYPERLINK("http://www.daganm.co.il/sku/CABLE-1131P-1","CABLE-1131P-1")</f>
        <v>CABLE-1131P-1</v>
      </c>
      <c r="B1337" t="s">
        <v>6</v>
      </c>
      <c r="C1337" s="2" t="s">
        <v>1070</v>
      </c>
      <c r="D1337" s="32"/>
      <c r="E1337" s="35" t="s">
        <v>2613</v>
      </c>
    </row>
    <row r="1338" spans="1:5" x14ac:dyDescent="0.2">
      <c r="A1338" s="34" t="str">
        <f>HYPERLINK("http://www.daganm.co.il/sku/CABLE-1131P-1.8","CABLE-1131P-1.8")</f>
        <v>CABLE-1131P-1.8</v>
      </c>
      <c r="B1338" t="s">
        <v>6</v>
      </c>
      <c r="C1338" s="2" t="s">
        <v>1071</v>
      </c>
      <c r="D1338" s="32">
        <v>45442</v>
      </c>
      <c r="E1338" s="35" t="s">
        <v>2614</v>
      </c>
    </row>
    <row r="1339" spans="1:5" x14ac:dyDescent="0.2">
      <c r="A1339" s="34" t="str">
        <f>HYPERLINK("http://www.daganm.co.il/sku/CABLE-1131P-3","CABLE-1131P-3")</f>
        <v>CABLE-1131P-3</v>
      </c>
      <c r="B1339" t="s">
        <v>6</v>
      </c>
      <c r="C1339" s="2" t="s">
        <v>1072</v>
      </c>
      <c r="D1339" s="32"/>
      <c r="E1339" s="35" t="s">
        <v>2615</v>
      </c>
    </row>
    <row r="1340" spans="1:5" x14ac:dyDescent="0.2">
      <c r="A1340" s="34" t="str">
        <f>HYPERLINK("http://www.daganm.co.il/sku/CBL1131RA-0.2","CBL1131RA-0.2")</f>
        <v>CBL1131RA-0.2</v>
      </c>
      <c r="B1340" t="s">
        <v>6</v>
      </c>
      <c r="C1340" s="2" t="s">
        <v>1073</v>
      </c>
      <c r="D1340" s="32"/>
      <c r="E1340" s="35" t="s">
        <v>2616</v>
      </c>
    </row>
    <row r="1341" spans="1:5" x14ac:dyDescent="0.2">
      <c r="A1341" s="34" t="str">
        <f>HYPERLINK("http://www.daganm.co.il/sku/CBL1131LA-0.2","CBL1131LA-0.2")</f>
        <v>CBL1131LA-0.2</v>
      </c>
      <c r="B1341" t="s">
        <v>6</v>
      </c>
      <c r="C1341" s="2" t="s">
        <v>1074</v>
      </c>
      <c r="D1341" s="32"/>
      <c r="E1341" s="32" t="s">
        <v>2617</v>
      </c>
    </row>
    <row r="1342" spans="1:5" x14ac:dyDescent="0.2">
      <c r="A1342" s="34" t="str">
        <f>HYPERLINK("http://www.daganm.co.il/sku/C1132HQ-0.5","C1132HQ-0.5")</f>
        <v>C1132HQ-0.5</v>
      </c>
      <c r="B1342" t="s">
        <v>6</v>
      </c>
      <c r="C1342" s="2" t="s">
        <v>1075</v>
      </c>
      <c r="D1342" s="32"/>
      <c r="E1342" s="35" t="s">
        <v>2618</v>
      </c>
    </row>
    <row r="1343" spans="1:5" x14ac:dyDescent="0.2">
      <c r="A1343" s="34" t="str">
        <f>HYPERLINK("http://www.daganm.co.il/sku/C1132HQ-1","C1132HQ-1")</f>
        <v>C1132HQ-1</v>
      </c>
      <c r="B1343" t="s">
        <v>6</v>
      </c>
      <c r="C1343" s="2" t="s">
        <v>1076</v>
      </c>
      <c r="D1343" s="32"/>
      <c r="E1343" s="35" t="s">
        <v>2619</v>
      </c>
    </row>
    <row r="1344" spans="1:5" x14ac:dyDescent="0.2">
      <c r="A1344" s="34" t="str">
        <f>HYPERLINK("http://www.daganm.co.il/sku/C1132HQ-2","C1132HQ-2")</f>
        <v>C1132HQ-2</v>
      </c>
      <c r="B1344" t="s">
        <v>6</v>
      </c>
      <c r="C1344" s="2" t="s">
        <v>1077</v>
      </c>
      <c r="D1344" s="32"/>
      <c r="E1344" s="35" t="s">
        <v>2620</v>
      </c>
    </row>
    <row r="1345" spans="1:5" x14ac:dyDescent="0.2">
      <c r="A1345" s="34" t="str">
        <f>HYPERLINK("http://www.daganm.co.il/sku/C1132HQ-3","C1132HQ-3")</f>
        <v>C1132HQ-3</v>
      </c>
      <c r="B1345" t="s">
        <v>6</v>
      </c>
      <c r="C1345" s="2" t="s">
        <v>1078</v>
      </c>
      <c r="D1345" s="32"/>
      <c r="E1345" s="35" t="s">
        <v>2621</v>
      </c>
    </row>
    <row r="1346" spans="1:5" x14ac:dyDescent="0.2">
      <c r="A1346" s="34" t="str">
        <f>HYPERLINK("http://www.daganm.co.il/sku/CABLE-1132OTG","CABLE-1132OTG")</f>
        <v>CABLE-1132OTG</v>
      </c>
      <c r="B1346" t="s">
        <v>6</v>
      </c>
      <c r="C1346" s="2" t="s">
        <v>1079</v>
      </c>
      <c r="D1346" s="32"/>
      <c r="E1346" s="35" t="s">
        <v>2622</v>
      </c>
    </row>
    <row r="1347" spans="1:5" x14ac:dyDescent="0.2">
      <c r="A1347" s="34" t="str">
        <f>HYPERLINK("http://www.daganm.co.il/sku/CABLE-1133-0.5","CABLE-1133-0.5")</f>
        <v>CABLE-1133-0.5</v>
      </c>
      <c r="B1347" t="s">
        <v>6</v>
      </c>
      <c r="C1347" s="2" t="s">
        <v>1080</v>
      </c>
      <c r="D1347" s="32">
        <v>45442</v>
      </c>
      <c r="E1347" s="35" t="s">
        <v>2623</v>
      </c>
    </row>
    <row r="1348" spans="1:5" x14ac:dyDescent="0.2">
      <c r="A1348" s="34" t="str">
        <f>HYPERLINK("http://www.daganm.co.il/sku/CABLE-1133-1","CABLE-1133-1")</f>
        <v>CABLE-1133-1</v>
      </c>
      <c r="B1348" t="s">
        <v>6</v>
      </c>
      <c r="C1348" s="2" t="s">
        <v>1081</v>
      </c>
      <c r="D1348" s="36"/>
      <c r="E1348" s="35" t="s">
        <v>2624</v>
      </c>
    </row>
    <row r="1349" spans="1:5" x14ac:dyDescent="0.2">
      <c r="A1349" s="34" t="str">
        <f>HYPERLINK("http://www.daganm.co.il/sku/CABLE-1133-1.8","CABLE-1133-1.8")</f>
        <v>CABLE-1133-1.8</v>
      </c>
      <c r="B1349" t="s">
        <v>6</v>
      </c>
      <c r="C1349" s="2" t="s">
        <v>1082</v>
      </c>
      <c r="D1349" s="36"/>
      <c r="E1349" s="35" t="s">
        <v>2625</v>
      </c>
    </row>
    <row r="1350" spans="1:5" x14ac:dyDescent="0.2">
      <c r="A1350" s="34" t="str">
        <f>HYPERLINK("http://www.daganm.co.il/sku/CABLE-1133-3","CABLE-1133-3")</f>
        <v>CABLE-1133-3</v>
      </c>
      <c r="B1350" t="s">
        <v>6</v>
      </c>
      <c r="C1350" s="2" t="s">
        <v>1083</v>
      </c>
      <c r="D1350" s="36">
        <v>45442</v>
      </c>
      <c r="E1350" s="35" t="s">
        <v>2626</v>
      </c>
    </row>
    <row r="1351" spans="1:5" x14ac:dyDescent="0.2">
      <c r="A1351" s="34" t="str">
        <f>HYPERLINK("http://www.daganm.co.il/sku/CABLE-1133-5","CABLE-1133-5")</f>
        <v>CABLE-1133-5</v>
      </c>
      <c r="B1351" t="s">
        <v>6</v>
      </c>
      <c r="C1351" s="2" t="s">
        <v>1084</v>
      </c>
      <c r="D1351" s="36"/>
      <c r="E1351" s="35" t="s">
        <v>2627</v>
      </c>
    </row>
    <row r="1352" spans="1:5" x14ac:dyDescent="0.2">
      <c r="B1352"/>
      <c r="C1352" s="33" t="s">
        <v>1085</v>
      </c>
      <c r="D1352" s="36"/>
      <c r="E1352" s="35"/>
    </row>
    <row r="1353" spans="1:5" x14ac:dyDescent="0.2">
      <c r="A1353" s="34" t="str">
        <f>HYPERLINK("http://www.daganm.co.il/sku/CABLE-1135-5","CABLE-1135-5")</f>
        <v>CABLE-1135-5</v>
      </c>
      <c r="B1353" t="s">
        <v>6</v>
      </c>
      <c r="C1353" s="2" t="s">
        <v>3551</v>
      </c>
      <c r="D1353" s="32"/>
      <c r="E1353" s="35" t="s">
        <v>2628</v>
      </c>
    </row>
    <row r="1354" spans="1:5" x14ac:dyDescent="0.2">
      <c r="A1354" s="34" t="str">
        <f>HYPERLINK("http://www.daganm.co.il/sku/CABLE-1135-10","CABLE-1135-10")</f>
        <v>CABLE-1135-10</v>
      </c>
      <c r="B1354" t="s">
        <v>6</v>
      </c>
      <c r="C1354" s="2" t="s">
        <v>3552</v>
      </c>
      <c r="D1354" s="32"/>
      <c r="E1354" s="35" t="s">
        <v>2629</v>
      </c>
    </row>
    <row r="1355" spans="1:5" x14ac:dyDescent="0.2">
      <c r="A1355" s="34" t="str">
        <f>HYPERLINK("http://www.daganm.co.il/sku/CABLE-1135-15","CABLE-1135-15")</f>
        <v>CABLE-1135-15</v>
      </c>
      <c r="B1355" t="s">
        <v>6</v>
      </c>
      <c r="C1355" s="2" t="s">
        <v>3553</v>
      </c>
      <c r="D1355" s="32"/>
      <c r="E1355" s="35" t="s">
        <v>2630</v>
      </c>
    </row>
    <row r="1356" spans="1:5" x14ac:dyDescent="0.2">
      <c r="A1356" s="34" t="str">
        <f>HYPERLINK("http://www.daganm.co.il/sku/CABLE-1135-20","CABLE-1135-20")</f>
        <v>CABLE-1135-20</v>
      </c>
      <c r="B1356" t="s">
        <v>6</v>
      </c>
      <c r="C1356" s="2" t="s">
        <v>3554</v>
      </c>
      <c r="D1356" s="32"/>
      <c r="E1356" s="35" t="s">
        <v>2631</v>
      </c>
    </row>
    <row r="1357" spans="1:5" x14ac:dyDescent="0.2">
      <c r="A1357" s="34" t="str">
        <f>HYPERLINK("http://www.daganm.co.il/sku/CBL1135LC-5","CBL1135LC-5")</f>
        <v>CBL1135LC-5</v>
      </c>
      <c r="B1357" t="s">
        <v>6</v>
      </c>
      <c r="C1357" s="2" t="s">
        <v>3798</v>
      </c>
      <c r="D1357" s="32"/>
      <c r="E1357" s="35" t="s">
        <v>3652</v>
      </c>
    </row>
    <row r="1358" spans="1:5" x14ac:dyDescent="0.2">
      <c r="A1358" s="34" t="str">
        <f>HYPERLINK("http://www.daganm.co.il/sku/CBL1135LC-10","CBL1135LC-10")</f>
        <v>CBL1135LC-10</v>
      </c>
      <c r="B1358" t="s">
        <v>6</v>
      </c>
      <c r="C1358" s="2" t="s">
        <v>3799</v>
      </c>
      <c r="D1358" s="32"/>
      <c r="E1358" s="35" t="s">
        <v>3469</v>
      </c>
    </row>
    <row r="1359" spans="1:5" x14ac:dyDescent="0.2">
      <c r="A1359" s="34" t="str">
        <f>HYPERLINK("http://www.daganm.co.il/sku/CBL1135LC-15","CBL1135LC-15")</f>
        <v>CBL1135LC-15</v>
      </c>
      <c r="B1359" t="s">
        <v>6</v>
      </c>
      <c r="C1359" s="2" t="s">
        <v>3800</v>
      </c>
      <c r="D1359" s="32"/>
      <c r="E1359" s="35" t="s">
        <v>3470</v>
      </c>
    </row>
    <row r="1360" spans="1:5" x14ac:dyDescent="0.2">
      <c r="A1360" s="34" t="str">
        <f>HYPERLINK("http://www.daganm.co.il/sku/CABLE-1137-10","CABLE-1137-10")</f>
        <v>CABLE-1137-10</v>
      </c>
      <c r="B1360" t="s">
        <v>6</v>
      </c>
      <c r="C1360" s="2" t="s">
        <v>3801</v>
      </c>
      <c r="D1360" s="32"/>
      <c r="E1360" s="35" t="s">
        <v>4007</v>
      </c>
    </row>
    <row r="1361" spans="1:5" x14ac:dyDescent="0.2">
      <c r="A1361" s="34" t="str">
        <f>HYPERLINK("http://www.daganm.co.il/sku/CABLE-1137-20","CABLE-1137-20")</f>
        <v>CABLE-1137-20</v>
      </c>
      <c r="B1361" t="s">
        <v>6</v>
      </c>
      <c r="C1361" s="2" t="s">
        <v>1086</v>
      </c>
      <c r="D1361" s="32"/>
      <c r="E1361" s="35" t="s">
        <v>2632</v>
      </c>
    </row>
    <row r="1362" spans="1:5" x14ac:dyDescent="0.2">
      <c r="A1362" s="34" t="str">
        <f>HYPERLINK("http://www.daganm.co.il/sku/CABLE-1137-30","CABLE-1137-30")</f>
        <v>CABLE-1137-30</v>
      </c>
      <c r="B1362" t="s">
        <v>6</v>
      </c>
      <c r="C1362" s="2" t="s">
        <v>1087</v>
      </c>
      <c r="D1362" s="36"/>
      <c r="E1362" s="35" t="s">
        <v>2633</v>
      </c>
    </row>
    <row r="1363" spans="1:5" x14ac:dyDescent="0.2">
      <c r="A1363" s="34" t="str">
        <f>HYPERLINK("http://www.daganm.co.il/sku/CABLE-1137-50","CABLE-1137-50")</f>
        <v>CABLE-1137-50</v>
      </c>
      <c r="B1363" t="s">
        <v>6</v>
      </c>
      <c r="C1363" s="2" t="s">
        <v>3802</v>
      </c>
      <c r="D1363" s="32"/>
      <c r="E1363" s="35" t="s">
        <v>4008</v>
      </c>
    </row>
    <row r="1364" spans="1:5" x14ac:dyDescent="0.2">
      <c r="A1364" s="34" t="str">
        <f>HYPERLINK("http://www.daganm.co.il/sku/CBL1138-10","CBL1138-10")</f>
        <v>CBL1138-10</v>
      </c>
      <c r="B1364" t="s">
        <v>6</v>
      </c>
      <c r="C1364" s="2" t="s">
        <v>3555</v>
      </c>
      <c r="D1364" s="32"/>
      <c r="E1364" s="35" t="s">
        <v>3653</v>
      </c>
    </row>
    <row r="1365" spans="1:5" x14ac:dyDescent="0.2">
      <c r="A1365" s="34" t="str">
        <f>HYPERLINK("http://www.daganm.co.il/sku/CBL1138-15","CBL1138-15")</f>
        <v>CBL1138-15</v>
      </c>
      <c r="B1365" t="s">
        <v>6</v>
      </c>
      <c r="C1365" s="2" t="s">
        <v>3556</v>
      </c>
      <c r="D1365" s="32"/>
      <c r="E1365" s="35" t="s">
        <v>3654</v>
      </c>
    </row>
    <row r="1366" spans="1:5" x14ac:dyDescent="0.2">
      <c r="A1366" s="34" t="str">
        <f>HYPERLINK("http://www.daganm.co.il/sku/CBL1138-20","CBL1138-20")</f>
        <v>CBL1138-20</v>
      </c>
      <c r="B1366" t="s">
        <v>6</v>
      </c>
      <c r="C1366" s="2" t="s">
        <v>3557</v>
      </c>
      <c r="D1366" s="32"/>
      <c r="E1366" s="35" t="s">
        <v>3655</v>
      </c>
    </row>
    <row r="1367" spans="1:5" x14ac:dyDescent="0.2">
      <c r="A1367" s="34" t="str">
        <f>HYPERLINK("http://www.daganm.co.il/sku/CBL1138-30","CBL1138-30")</f>
        <v>CBL1138-30</v>
      </c>
      <c r="B1367" t="s">
        <v>6</v>
      </c>
      <c r="C1367" s="2" t="s">
        <v>3558</v>
      </c>
      <c r="D1367" s="32">
        <v>45442</v>
      </c>
      <c r="E1367" s="35" t="s">
        <v>3656</v>
      </c>
    </row>
    <row r="1368" spans="1:5" x14ac:dyDescent="0.2">
      <c r="A1368" s="34" t="str">
        <f>HYPERLINK("http://www.daganm.co.il/sku/CBL1138-50","CBL1138-50")</f>
        <v>CBL1138-50</v>
      </c>
      <c r="B1368" t="s">
        <v>6</v>
      </c>
      <c r="C1368" s="2" t="s">
        <v>3803</v>
      </c>
      <c r="D1368" s="32">
        <v>45442</v>
      </c>
      <c r="E1368" s="35" t="s">
        <v>3657</v>
      </c>
    </row>
    <row r="1369" spans="1:5" x14ac:dyDescent="0.2">
      <c r="B1369"/>
      <c r="C1369" s="33" t="s">
        <v>1088</v>
      </c>
      <c r="D1369" s="32"/>
      <c r="E1369" s="35"/>
    </row>
    <row r="1370" spans="1:5" x14ac:dyDescent="0.2">
      <c r="A1370" s="34" t="str">
        <f>HYPERLINK("http://www.daganm.co.il/sku/C31.20-0.5","C31.20-0.5")</f>
        <v>C31.20-0.5</v>
      </c>
      <c r="B1370" t="s">
        <v>6</v>
      </c>
      <c r="C1370" s="2" t="s">
        <v>3804</v>
      </c>
      <c r="D1370" s="32"/>
      <c r="E1370" s="35" t="s">
        <v>2634</v>
      </c>
    </row>
    <row r="1371" spans="1:5" x14ac:dyDescent="0.2">
      <c r="A1371" s="34" t="str">
        <f>HYPERLINK("http://www.daganm.co.il/sku/C31.20-1","C31.20-1")</f>
        <v>C31.20-1</v>
      </c>
      <c r="B1371" t="s">
        <v>6</v>
      </c>
      <c r="C1371" s="2" t="s">
        <v>3805</v>
      </c>
      <c r="D1371" s="32"/>
      <c r="E1371" s="35" t="s">
        <v>2635</v>
      </c>
    </row>
    <row r="1372" spans="1:5" x14ac:dyDescent="0.2">
      <c r="A1372" s="34" t="str">
        <f>HYPERLINK("http://www.daganm.co.il/sku/C31.20-1.5","C31.20-1.5")</f>
        <v>C31.20-1.5</v>
      </c>
      <c r="B1372" t="s">
        <v>6</v>
      </c>
      <c r="C1372" s="2" t="s">
        <v>3806</v>
      </c>
      <c r="D1372" s="32"/>
      <c r="E1372" s="35" t="s">
        <v>2636</v>
      </c>
    </row>
    <row r="1373" spans="1:5" x14ac:dyDescent="0.2">
      <c r="A1373" s="34" t="str">
        <f>HYPERLINK("http://www.daganm.co.il/sku/C31.20-2","C31.20-2")</f>
        <v>C31.20-2</v>
      </c>
      <c r="B1373" t="s">
        <v>6</v>
      </c>
      <c r="C1373" s="2" t="s">
        <v>3807</v>
      </c>
      <c r="D1373" s="32"/>
      <c r="E1373" s="35" t="s">
        <v>2637</v>
      </c>
    </row>
    <row r="1374" spans="1:5" x14ac:dyDescent="0.2">
      <c r="A1374" s="34" t="str">
        <f>HYPERLINK("http://www.daganm.co.il/sku/C31.20-3","C31.20-3")</f>
        <v>C31.20-3</v>
      </c>
      <c r="B1374" t="s">
        <v>6</v>
      </c>
      <c r="C1374" s="2" t="s">
        <v>3808</v>
      </c>
      <c r="D1374" s="32"/>
      <c r="E1374" s="35" t="s">
        <v>2638</v>
      </c>
    </row>
    <row r="1375" spans="1:5" x14ac:dyDescent="0.2">
      <c r="A1375" s="34" t="str">
        <f>HYPERLINK("http://www.daganm.co.il/sku/C31.20-5","C31.20-5")</f>
        <v>C31.20-5</v>
      </c>
      <c r="B1375" t="s">
        <v>6</v>
      </c>
      <c r="C1375" s="2" t="s">
        <v>3809</v>
      </c>
      <c r="D1375" s="32"/>
      <c r="E1375" s="35" t="s">
        <v>4009</v>
      </c>
    </row>
    <row r="1376" spans="1:5" x14ac:dyDescent="0.2">
      <c r="A1376" s="37" t="str">
        <f>HYPERLINK("http://www.daganm.co.il/sku/C31.20AOC-5","C31.20AOC-5")</f>
        <v>C31.20AOC-5</v>
      </c>
      <c r="B1376" t="s">
        <v>6</v>
      </c>
      <c r="C1376" s="2" t="s">
        <v>4143</v>
      </c>
      <c r="D1376" s="32"/>
      <c r="E1376" s="35" t="s">
        <v>4278</v>
      </c>
    </row>
    <row r="1377" spans="1:5" x14ac:dyDescent="0.2">
      <c r="A1377" s="37" t="str">
        <f>HYPERLINK("http://www.daganm.co.il/sku/C31.20AOC-10","C31.20AOC-10")</f>
        <v>C31.20AOC-10</v>
      </c>
      <c r="B1377" t="s">
        <v>6</v>
      </c>
      <c r="C1377" s="2" t="s">
        <v>4144</v>
      </c>
      <c r="D1377" s="32">
        <v>45442</v>
      </c>
      <c r="E1377" s="35" t="s">
        <v>4279</v>
      </c>
    </row>
    <row r="1378" spans="1:5" x14ac:dyDescent="0.2">
      <c r="A1378" s="37" t="str">
        <f>HYPERLINK("http://www.daganm.co.il/sku/C31.20AOC-15","C31.20AOC-15")</f>
        <v>C31.20AOC-15</v>
      </c>
      <c r="B1378" t="s">
        <v>6</v>
      </c>
      <c r="C1378" s="2" t="s">
        <v>4145</v>
      </c>
      <c r="D1378" s="32">
        <v>45442</v>
      </c>
      <c r="E1378" s="35" t="s">
        <v>4280</v>
      </c>
    </row>
    <row r="1379" spans="1:5" x14ac:dyDescent="0.2">
      <c r="A1379" s="34" t="str">
        <f>HYPERLINK("http://www.daganm.co.il/sku/C31.15M-0.5","C31.15M-0.5")</f>
        <v>C31.15M-0.5</v>
      </c>
      <c r="B1379" t="s">
        <v>6</v>
      </c>
      <c r="C1379" s="2" t="s">
        <v>3810</v>
      </c>
      <c r="D1379" s="32"/>
      <c r="E1379" s="35" t="s">
        <v>4010</v>
      </c>
    </row>
    <row r="1380" spans="1:5" x14ac:dyDescent="0.2">
      <c r="A1380" s="34" t="str">
        <f>HYPERLINK("http://www.daganm.co.il/sku/C31.15M-1","C31.15M-1")</f>
        <v>C31.15M-1</v>
      </c>
      <c r="B1380" t="s">
        <v>6</v>
      </c>
      <c r="C1380" s="2" t="s">
        <v>3811</v>
      </c>
      <c r="D1380" s="32"/>
      <c r="E1380" s="35" t="s">
        <v>4011</v>
      </c>
    </row>
    <row r="1381" spans="1:5" x14ac:dyDescent="0.2">
      <c r="A1381" s="34" t="str">
        <f>HYPERLINK("http://www.daganm.co.il/sku/C31.15M-2","C31.15M-2")</f>
        <v>C31.15M-2</v>
      </c>
      <c r="B1381" t="s">
        <v>6</v>
      </c>
      <c r="C1381" s="2" t="s">
        <v>3812</v>
      </c>
      <c r="D1381" s="32"/>
      <c r="E1381" s="35" t="s">
        <v>4012</v>
      </c>
    </row>
    <row r="1382" spans="1:5" x14ac:dyDescent="0.2">
      <c r="A1382" s="34" t="str">
        <f>HYPERLINK("http://www.daganm.co.il/sku/C31.15M-3","C31.15M-3")</f>
        <v>C31.15M-3</v>
      </c>
      <c r="B1382" t="s">
        <v>6</v>
      </c>
      <c r="C1382" s="2" t="s">
        <v>3813</v>
      </c>
      <c r="D1382" s="32"/>
      <c r="E1382" s="35" t="s">
        <v>4013</v>
      </c>
    </row>
    <row r="1383" spans="1:5" x14ac:dyDescent="0.2">
      <c r="A1383" s="34" t="str">
        <f>HYPERLINK("http://www.daganm.co.il/sku/C31.15M-5","C31.15M-5")</f>
        <v>C31.15M-5</v>
      </c>
      <c r="B1383" t="s">
        <v>6</v>
      </c>
      <c r="C1383" s="2" t="s">
        <v>3814</v>
      </c>
      <c r="D1383" s="32"/>
      <c r="E1383" s="35" t="s">
        <v>4014</v>
      </c>
    </row>
    <row r="1384" spans="1:5" x14ac:dyDescent="0.2">
      <c r="A1384" s="34" t="str">
        <f>HYPERLINK("http://www.daganm.co.il/sku/C40.271-0.5","C40.271-0.5")</f>
        <v>C40.271-0.5</v>
      </c>
      <c r="B1384" t="s">
        <v>6</v>
      </c>
      <c r="C1384" s="2" t="s">
        <v>3559</v>
      </c>
      <c r="D1384" s="32"/>
      <c r="E1384" s="35" t="s">
        <v>3658</v>
      </c>
    </row>
    <row r="1385" spans="1:5" x14ac:dyDescent="0.2">
      <c r="A1385" s="34" t="str">
        <f>HYPERLINK("http://www.daganm.co.il/sku/C40.271-1","C40.271-1")</f>
        <v>C40.271-1</v>
      </c>
      <c r="B1385" t="s">
        <v>6</v>
      </c>
      <c r="C1385" s="2" t="s">
        <v>3560</v>
      </c>
      <c r="D1385" s="32"/>
      <c r="E1385" s="35" t="s">
        <v>2639</v>
      </c>
    </row>
    <row r="1386" spans="1:5" x14ac:dyDescent="0.2">
      <c r="A1386" s="34" t="str">
        <f>HYPERLINK("http://www.daganm.co.il/sku/C40.271-1.5","C40.271-1.5")</f>
        <v>C40.271-1.5</v>
      </c>
      <c r="B1386" t="s">
        <v>6</v>
      </c>
      <c r="C1386" s="2" t="s">
        <v>3561</v>
      </c>
      <c r="D1386" s="32"/>
      <c r="E1386" s="35" t="s">
        <v>2640</v>
      </c>
    </row>
    <row r="1387" spans="1:5" x14ac:dyDescent="0.2">
      <c r="A1387" s="34" t="str">
        <f>HYPERLINK("http://www.daganm.co.il/sku/C40.271-2","C40.271-2")</f>
        <v>C40.271-2</v>
      </c>
      <c r="B1387" t="s">
        <v>6</v>
      </c>
      <c r="C1387" s="2" t="s">
        <v>3562</v>
      </c>
      <c r="D1387" s="32"/>
      <c r="E1387" s="35" t="s">
        <v>2641</v>
      </c>
    </row>
    <row r="1388" spans="1:5" x14ac:dyDescent="0.2">
      <c r="A1388" s="34" t="str">
        <f>HYPERLINK("http://www.daganm.co.il/sku/C40.271-3","C40.271-3")</f>
        <v>C40.271-3</v>
      </c>
      <c r="B1388" t="s">
        <v>6</v>
      </c>
      <c r="C1388" s="2" t="s">
        <v>3815</v>
      </c>
      <c r="D1388" s="32"/>
      <c r="E1388" s="35" t="s">
        <v>4015</v>
      </c>
    </row>
    <row r="1389" spans="1:5" x14ac:dyDescent="0.2">
      <c r="A1389" s="34" t="str">
        <f>HYPERLINK("http://www.daganm.co.il/sku/C40.271-5","C40.271-5")</f>
        <v>C40.271-5</v>
      </c>
      <c r="B1389" t="s">
        <v>6</v>
      </c>
      <c r="C1389" s="2" t="s">
        <v>3816</v>
      </c>
      <c r="D1389" s="32"/>
      <c r="E1389" s="35" t="s">
        <v>4016</v>
      </c>
    </row>
    <row r="1390" spans="1:5" x14ac:dyDescent="0.2">
      <c r="A1390" s="34" t="str">
        <f>HYPERLINK("http://www.daganm.co.il/sku/C31.01-0.25","C31.01-0.25")</f>
        <v>C31.01-0.25</v>
      </c>
      <c r="B1390" t="s">
        <v>6</v>
      </c>
      <c r="C1390" s="2" t="s">
        <v>3817</v>
      </c>
      <c r="D1390" s="32"/>
      <c r="E1390" s="35" t="s">
        <v>2642</v>
      </c>
    </row>
    <row r="1391" spans="1:5" x14ac:dyDescent="0.2">
      <c r="A1391" s="34" t="str">
        <f>HYPERLINK("http://www.daganm.co.il/sku/C31.01-0.5","C31.01-0.5")</f>
        <v>C31.01-0.5</v>
      </c>
      <c r="B1391" t="s">
        <v>6</v>
      </c>
      <c r="C1391" s="2" t="s">
        <v>3818</v>
      </c>
      <c r="D1391" s="32"/>
      <c r="E1391" s="35" t="s">
        <v>2643</v>
      </c>
    </row>
    <row r="1392" spans="1:5" x14ac:dyDescent="0.2">
      <c r="A1392" s="34" t="str">
        <f>HYPERLINK("http://www.daganm.co.il/sku/C31.01-1","C31.01-1")</f>
        <v>C31.01-1</v>
      </c>
      <c r="B1392" t="s">
        <v>6</v>
      </c>
      <c r="C1392" s="2" t="s">
        <v>3819</v>
      </c>
      <c r="D1392" s="32"/>
      <c r="E1392" s="35" t="s">
        <v>2644</v>
      </c>
    </row>
    <row r="1393" spans="1:5" x14ac:dyDescent="0.2">
      <c r="A1393" s="34" t="str">
        <f>HYPERLINK("http://www.daganm.co.il/sku/C31.01-1.5","C31.01-1.5")</f>
        <v>C31.01-1.5</v>
      </c>
      <c r="B1393" t="s">
        <v>6</v>
      </c>
      <c r="C1393" s="2" t="s">
        <v>3820</v>
      </c>
      <c r="D1393" s="32"/>
      <c r="E1393" s="35" t="s">
        <v>4017</v>
      </c>
    </row>
    <row r="1394" spans="1:5" x14ac:dyDescent="0.2">
      <c r="A1394" s="34" t="str">
        <f>HYPERLINK("http://www.daganm.co.il/sku/C31.01-2","C31.01-2")</f>
        <v>C31.01-2</v>
      </c>
      <c r="B1394" t="s">
        <v>6</v>
      </c>
      <c r="C1394" s="2" t="s">
        <v>3821</v>
      </c>
      <c r="D1394" s="32"/>
      <c r="E1394" s="35" t="s">
        <v>2645</v>
      </c>
    </row>
    <row r="1395" spans="1:5" x14ac:dyDescent="0.2">
      <c r="A1395" s="34" t="str">
        <f>HYPERLINK("http://www.daganm.co.il/sku/C31.01-3","C31.01-3")</f>
        <v>C31.01-3</v>
      </c>
      <c r="B1395" t="s">
        <v>6</v>
      </c>
      <c r="C1395" s="2" t="s">
        <v>3822</v>
      </c>
      <c r="D1395" s="32"/>
      <c r="E1395" s="35" t="s">
        <v>2646</v>
      </c>
    </row>
    <row r="1396" spans="1:5" x14ac:dyDescent="0.2">
      <c r="A1396" s="34" t="str">
        <f>HYPERLINK("http://www.daganm.co.il/sku/C31.01-5","C31.01-5")</f>
        <v>C31.01-5</v>
      </c>
      <c r="B1396" t="s">
        <v>6</v>
      </c>
      <c r="C1396" s="2" t="s">
        <v>3823</v>
      </c>
      <c r="D1396" s="32"/>
      <c r="E1396" s="35" t="s">
        <v>2647</v>
      </c>
    </row>
    <row r="1397" spans="1:5" x14ac:dyDescent="0.2">
      <c r="A1397" s="34" t="str">
        <f>HYPERLINK("http://www.daganm.co.il/sku/C31.02-1","C31.02-1")</f>
        <v>C31.02-1</v>
      </c>
      <c r="B1397" t="s">
        <v>6</v>
      </c>
      <c r="C1397" s="2" t="s">
        <v>3824</v>
      </c>
      <c r="D1397" s="32"/>
      <c r="E1397" s="35" t="s">
        <v>2648</v>
      </c>
    </row>
    <row r="1398" spans="1:5" x14ac:dyDescent="0.2">
      <c r="A1398" s="37" t="str">
        <f>HYPERLINK("http://www.daganm.co.il/sku/C31.02-1.5","C31.02-1.5")</f>
        <v>C31.02-1.5</v>
      </c>
      <c r="B1398" t="s">
        <v>6</v>
      </c>
      <c r="C1398" s="2" t="s">
        <v>4146</v>
      </c>
      <c r="D1398" s="32"/>
      <c r="E1398" s="35" t="s">
        <v>4281</v>
      </c>
    </row>
    <row r="1399" spans="1:5" x14ac:dyDescent="0.2">
      <c r="A1399" s="34" t="str">
        <f>HYPERLINK("http://www.daganm.co.il/sku/C31.02-2","C31.02-2")</f>
        <v>C31.02-2</v>
      </c>
      <c r="B1399" t="s">
        <v>6</v>
      </c>
      <c r="C1399" s="2" t="s">
        <v>3825</v>
      </c>
      <c r="D1399" s="32"/>
      <c r="E1399" s="35" t="s">
        <v>2649</v>
      </c>
    </row>
    <row r="1400" spans="1:5" x14ac:dyDescent="0.2">
      <c r="A1400" s="34" t="str">
        <f>HYPERLINK("http://www.daganm.co.il/sku/C31.03-0.2","C31.03-0.2")</f>
        <v>C31.03-0.2</v>
      </c>
      <c r="B1400" t="s">
        <v>6</v>
      </c>
      <c r="C1400" s="2" t="s">
        <v>3826</v>
      </c>
      <c r="D1400" s="32"/>
      <c r="E1400" s="35" t="s">
        <v>2650</v>
      </c>
    </row>
    <row r="1401" spans="1:5" x14ac:dyDescent="0.2">
      <c r="A1401" s="34" t="str">
        <f>HYPERLINK("http://www.daganm.co.il/sku/C31.03-0.5","C31.03-0.5")</f>
        <v>C31.03-0.5</v>
      </c>
      <c r="B1401" t="s">
        <v>6</v>
      </c>
      <c r="C1401" s="2" t="s">
        <v>3827</v>
      </c>
      <c r="D1401" s="32"/>
      <c r="E1401" s="35" t="s">
        <v>2651</v>
      </c>
    </row>
    <row r="1402" spans="1:5" x14ac:dyDescent="0.2">
      <c r="A1402" s="34" t="str">
        <f>HYPERLINK("http://www.daganm.co.il/sku/C31.03-1","C31.03-1")</f>
        <v>C31.03-1</v>
      </c>
      <c r="B1402" t="s">
        <v>6</v>
      </c>
      <c r="C1402" s="2" t="s">
        <v>3828</v>
      </c>
      <c r="D1402" s="32"/>
      <c r="E1402" s="35" t="s">
        <v>2652</v>
      </c>
    </row>
    <row r="1403" spans="1:5" x14ac:dyDescent="0.2">
      <c r="A1403" s="34" t="str">
        <f>HYPERLINK("http://www.daganm.co.il/sku/C31.03-1.5","C31.03-1.5")</f>
        <v>C31.03-1.5</v>
      </c>
      <c r="B1403" t="s">
        <v>6</v>
      </c>
      <c r="C1403" s="2" t="s">
        <v>3829</v>
      </c>
      <c r="D1403" s="32"/>
      <c r="E1403" s="35" t="s">
        <v>2653</v>
      </c>
    </row>
    <row r="1404" spans="1:5" x14ac:dyDescent="0.2">
      <c r="A1404" s="34" t="str">
        <f>HYPERLINK("http://www.daganm.co.il/sku/C31.03-2","C31.03-2")</f>
        <v>C31.03-2</v>
      </c>
      <c r="B1404" t="s">
        <v>6</v>
      </c>
      <c r="C1404" s="2" t="s">
        <v>3830</v>
      </c>
      <c r="D1404" s="32"/>
      <c r="E1404" s="35" t="s">
        <v>2654</v>
      </c>
    </row>
    <row r="1405" spans="1:5" x14ac:dyDescent="0.2">
      <c r="A1405" s="34" t="str">
        <f>HYPERLINK("http://www.daganm.co.il/sku/C31.03-3","C31.03-3")</f>
        <v>C31.03-3</v>
      </c>
      <c r="B1405" t="s">
        <v>6</v>
      </c>
      <c r="C1405" s="2" t="s">
        <v>3831</v>
      </c>
      <c r="D1405" s="32"/>
      <c r="E1405" s="35" t="s">
        <v>2655</v>
      </c>
    </row>
    <row r="1406" spans="1:5" x14ac:dyDescent="0.2">
      <c r="A1406" s="34" t="str">
        <f>HYPERLINK("http://www.daganm.co.il/sku/C31.03-5","C31.03-5")</f>
        <v>C31.03-5</v>
      </c>
      <c r="B1406" t="s">
        <v>6</v>
      </c>
      <c r="C1406" s="2" t="s">
        <v>3832</v>
      </c>
      <c r="D1406" s="32"/>
      <c r="E1406" s="35" t="s">
        <v>2656</v>
      </c>
    </row>
    <row r="1407" spans="1:5" x14ac:dyDescent="0.2">
      <c r="A1407" s="34" t="str">
        <f>HYPERLINK("http://www.daganm.co.il/sku/C31.03RA-2","C31.03RA-2")</f>
        <v>C31.03RA-2</v>
      </c>
      <c r="B1407" t="s">
        <v>6</v>
      </c>
      <c r="C1407" s="2" t="s">
        <v>3833</v>
      </c>
      <c r="D1407" s="32"/>
      <c r="E1407" s="35" t="s">
        <v>2657</v>
      </c>
    </row>
    <row r="1408" spans="1:5" x14ac:dyDescent="0.2">
      <c r="A1408" s="34" t="str">
        <f>HYPERLINK("http://www.daganm.co.il/sku/C31.03FC-0.5","C31.03FC-0.5")</f>
        <v>C31.03FC-0.5</v>
      </c>
      <c r="B1408" t="s">
        <v>6</v>
      </c>
      <c r="C1408" s="2" t="s">
        <v>3834</v>
      </c>
      <c r="D1408" s="32"/>
      <c r="E1408" s="32" t="s">
        <v>2658</v>
      </c>
    </row>
    <row r="1409" spans="1:5" x14ac:dyDescent="0.2">
      <c r="A1409" s="34" t="str">
        <f>HYPERLINK("http://www.daganm.co.il/sku/C31.03FC-1","C31.03FC-1")</f>
        <v>C31.03FC-1</v>
      </c>
      <c r="B1409" t="s">
        <v>6</v>
      </c>
      <c r="C1409" s="2" t="s">
        <v>3835</v>
      </c>
      <c r="D1409" s="32">
        <v>45442</v>
      </c>
      <c r="E1409" s="35" t="s">
        <v>2659</v>
      </c>
    </row>
    <row r="1410" spans="1:5" x14ac:dyDescent="0.2">
      <c r="A1410" s="34" t="str">
        <f>HYPERLINK("http://www.daganm.co.il/sku/C31.03FC-1.8","C31.03FC-1.8")</f>
        <v>C31.03FC-1.8</v>
      </c>
      <c r="B1410" t="s">
        <v>6</v>
      </c>
      <c r="C1410" s="2" t="s">
        <v>3836</v>
      </c>
      <c r="D1410" s="32"/>
      <c r="E1410" s="35" t="s">
        <v>2660</v>
      </c>
    </row>
    <row r="1411" spans="1:5" x14ac:dyDescent="0.2">
      <c r="A1411" s="34" t="str">
        <f>HYPERLINK("http://www.daganm.co.il/sku/C31.03FC-3","C31.03FC-3")</f>
        <v>C31.03FC-3</v>
      </c>
      <c r="B1411" t="s">
        <v>6</v>
      </c>
      <c r="C1411" s="2" t="s">
        <v>3837</v>
      </c>
      <c r="D1411" s="32"/>
      <c r="E1411" s="35" t="s">
        <v>2661</v>
      </c>
    </row>
    <row r="1412" spans="1:5" x14ac:dyDescent="0.2">
      <c r="A1412" s="34" t="str">
        <f>HYPERLINK("http://www.daganm.co.il/sku/C31.04-1","C31.04-1")</f>
        <v>C31.04-1</v>
      </c>
      <c r="B1412" t="s">
        <v>6</v>
      </c>
      <c r="C1412" s="2" t="s">
        <v>3838</v>
      </c>
      <c r="D1412" s="32"/>
      <c r="E1412" s="35" t="s">
        <v>2662</v>
      </c>
    </row>
    <row r="1413" spans="1:5" x14ac:dyDescent="0.2">
      <c r="A1413" s="34" t="str">
        <f>HYPERLINK("http://www.daganm.co.il/sku/C31.04-1.8","C31.04-1.8")</f>
        <v>C31.04-1.8</v>
      </c>
      <c r="B1413" t="s">
        <v>6</v>
      </c>
      <c r="C1413" s="2" t="s">
        <v>3839</v>
      </c>
      <c r="D1413" s="32"/>
      <c r="E1413" s="35" t="s">
        <v>2663</v>
      </c>
    </row>
    <row r="1414" spans="1:5" x14ac:dyDescent="0.2">
      <c r="A1414" s="34" t="str">
        <f>HYPERLINK("http://www.daganm.co.il/sku/C31.05-0.5","C31.05-0.5")</f>
        <v>C31.05-0.5</v>
      </c>
      <c r="B1414" t="s">
        <v>6</v>
      </c>
      <c r="C1414" s="2" t="s">
        <v>3840</v>
      </c>
      <c r="D1414" s="32"/>
      <c r="E1414" s="35" t="s">
        <v>2664</v>
      </c>
    </row>
    <row r="1415" spans="1:5" x14ac:dyDescent="0.2">
      <c r="A1415" s="34" t="str">
        <f>HYPERLINK("http://www.daganm.co.il/sku/C31.05-1","C31.05-1")</f>
        <v>C31.05-1</v>
      </c>
      <c r="B1415" t="s">
        <v>6</v>
      </c>
      <c r="C1415" s="2" t="s">
        <v>3841</v>
      </c>
      <c r="D1415" s="32"/>
      <c r="E1415" s="35" t="s">
        <v>2665</v>
      </c>
    </row>
    <row r="1416" spans="1:5" x14ac:dyDescent="0.2">
      <c r="A1416" s="34" t="str">
        <f>HYPERLINK("http://www.daganm.co.il/sku/C31.05-2","C31.05-2")</f>
        <v>C31.05-2</v>
      </c>
      <c r="B1416" t="s">
        <v>6</v>
      </c>
      <c r="C1416" s="2" t="s">
        <v>3842</v>
      </c>
      <c r="D1416" s="32"/>
      <c r="E1416" s="35" t="s">
        <v>2666</v>
      </c>
    </row>
    <row r="1417" spans="1:5" x14ac:dyDescent="0.2">
      <c r="A1417" s="34" t="str">
        <f>HYPERLINK("http://www.daganm.co.il/sku/C31.06-1.8","C31.06-1.8")</f>
        <v>C31.06-1.8</v>
      </c>
      <c r="B1417" t="s">
        <v>6</v>
      </c>
      <c r="C1417" s="2" t="s">
        <v>3843</v>
      </c>
      <c r="D1417" s="32"/>
      <c r="E1417" s="32" t="s">
        <v>2667</v>
      </c>
    </row>
    <row r="1418" spans="1:5" x14ac:dyDescent="0.2">
      <c r="A1418" s="34" t="str">
        <f>HYPERLINK("http://www.daganm.co.il/sku/C31.07-1","C31.07-1")</f>
        <v>C31.07-1</v>
      </c>
      <c r="B1418" t="s">
        <v>6</v>
      </c>
      <c r="C1418" s="2" t="s">
        <v>3844</v>
      </c>
      <c r="D1418" s="32"/>
      <c r="E1418" s="35" t="s">
        <v>2668</v>
      </c>
    </row>
    <row r="1419" spans="1:5" x14ac:dyDescent="0.2">
      <c r="A1419" s="34" t="str">
        <f>HYPERLINK("http://www.daganm.co.il/sku/C31.08-1","C31.08-1")</f>
        <v>C31.08-1</v>
      </c>
      <c r="B1419" t="s">
        <v>6</v>
      </c>
      <c r="C1419" s="2" t="s">
        <v>3845</v>
      </c>
      <c r="D1419" s="32"/>
      <c r="E1419" s="35" t="s">
        <v>2669</v>
      </c>
    </row>
    <row r="1420" spans="1:5" x14ac:dyDescent="0.2">
      <c r="A1420" s="34" t="str">
        <f>HYPERLINK("http://www.daganm.co.il/sku/C31.09-0.2","C31.09-0.2")</f>
        <v>C31.09-0.2</v>
      </c>
      <c r="B1420" t="s">
        <v>6</v>
      </c>
      <c r="C1420" s="2" t="s">
        <v>3846</v>
      </c>
      <c r="D1420" s="32"/>
      <c r="E1420" s="35" t="s">
        <v>2670</v>
      </c>
    </row>
    <row r="1421" spans="1:5" x14ac:dyDescent="0.2">
      <c r="A1421" s="34" t="str">
        <f>HYPERLINK("http://www.daganm.co.il/sku/C31.11-0.2","C31.11-0.2")</f>
        <v>C31.11-0.2</v>
      </c>
      <c r="B1421" t="s">
        <v>6</v>
      </c>
      <c r="C1421" s="2" t="s">
        <v>3847</v>
      </c>
      <c r="D1421" s="32"/>
      <c r="E1421" s="35" t="s">
        <v>2671</v>
      </c>
    </row>
    <row r="1422" spans="1:5" x14ac:dyDescent="0.2">
      <c r="A1422" s="34" t="str">
        <f>HYPERLINK("http://www.daganm.co.il/sku/C31.15-0.2","C31.15-0.2")</f>
        <v>C31.15-0.2</v>
      </c>
      <c r="B1422" t="s">
        <v>6</v>
      </c>
      <c r="C1422" s="2" t="s">
        <v>3848</v>
      </c>
      <c r="D1422" s="32"/>
      <c r="E1422" s="32" t="s">
        <v>2672</v>
      </c>
    </row>
    <row r="1423" spans="1:5" x14ac:dyDescent="0.2">
      <c r="A1423" s="37" t="str">
        <f>HYPERLINK("http://www.daganm.co.il/sku/C31.15-0.5","C31.15-0.5")</f>
        <v>C31.15-0.5</v>
      </c>
      <c r="B1423" t="s">
        <v>6</v>
      </c>
      <c r="C1423" s="2" t="s">
        <v>4147</v>
      </c>
      <c r="D1423" s="32"/>
      <c r="E1423" s="35" t="s">
        <v>4282</v>
      </c>
    </row>
    <row r="1424" spans="1:5" x14ac:dyDescent="0.2">
      <c r="A1424" s="34" t="str">
        <f>HYPERLINK("http://www.daganm.co.il/sku/C31.15-1","C31.15-1")</f>
        <v>C31.15-1</v>
      </c>
      <c r="B1424" t="s">
        <v>6</v>
      </c>
      <c r="C1424" s="2" t="s">
        <v>3849</v>
      </c>
      <c r="D1424" s="32"/>
      <c r="E1424" s="35" t="s">
        <v>3471</v>
      </c>
    </row>
    <row r="1425" spans="1:5" x14ac:dyDescent="0.2">
      <c r="A1425" s="34" t="str">
        <f>HYPERLINK("http://www.daganm.co.il/sku/C31.15-2","C31.15-2")</f>
        <v>C31.15-2</v>
      </c>
      <c r="B1425" t="s">
        <v>6</v>
      </c>
      <c r="C1425" s="2" t="s">
        <v>3850</v>
      </c>
      <c r="D1425" s="36"/>
      <c r="E1425" s="35" t="s">
        <v>3472</v>
      </c>
    </row>
    <row r="1426" spans="1:5" x14ac:dyDescent="0.2">
      <c r="A1426" s="34" t="str">
        <f>HYPERLINK("http://www.daganm.co.il/sku/C31.15-3","C31.15-3")</f>
        <v>C31.15-3</v>
      </c>
      <c r="B1426" t="s">
        <v>6</v>
      </c>
      <c r="C1426" s="2" t="s">
        <v>3851</v>
      </c>
      <c r="D1426" s="32"/>
      <c r="E1426" s="35" t="s">
        <v>3473</v>
      </c>
    </row>
    <row r="1427" spans="1:5" x14ac:dyDescent="0.2">
      <c r="A1427" s="34" t="str">
        <f>HYPERLINK("http://www.daganm.co.il/sku/C31.15RA-0.2","C31.15RA-0.2")</f>
        <v>C31.15RA-0.2</v>
      </c>
      <c r="B1427" t="s">
        <v>6</v>
      </c>
      <c r="C1427" s="2" t="s">
        <v>3852</v>
      </c>
      <c r="D1427" s="32"/>
      <c r="E1427" s="35" t="s">
        <v>2673</v>
      </c>
    </row>
    <row r="1428" spans="1:5" x14ac:dyDescent="0.2">
      <c r="A1428" s="34" t="str">
        <f>HYPERLINK("http://www.daganm.co.il/sku/C31.15P-0.5","C31.15P-0.5")</f>
        <v>C31.15P-0.5</v>
      </c>
      <c r="B1428" t="s">
        <v>6</v>
      </c>
      <c r="C1428" s="2" t="s">
        <v>3853</v>
      </c>
      <c r="D1428" s="32">
        <v>45442</v>
      </c>
      <c r="E1428" s="35" t="s">
        <v>2674</v>
      </c>
    </row>
    <row r="1429" spans="1:5" x14ac:dyDescent="0.2">
      <c r="A1429" s="34" t="str">
        <f>HYPERLINK("http://www.daganm.co.il/sku/C31.15P-1","C31.15P-1")</f>
        <v>C31.15P-1</v>
      </c>
      <c r="B1429" t="s">
        <v>6</v>
      </c>
      <c r="C1429" s="2" t="s">
        <v>3854</v>
      </c>
      <c r="D1429" s="32"/>
      <c r="E1429" s="35" t="s">
        <v>2675</v>
      </c>
    </row>
    <row r="1430" spans="1:5" x14ac:dyDescent="0.2">
      <c r="A1430" s="34" t="str">
        <f>HYPERLINK("http://www.daganm.co.il/sku/C31.15P-1.8","C31.15P-1.8")</f>
        <v>C31.15P-1.8</v>
      </c>
      <c r="B1430" t="s">
        <v>6</v>
      </c>
      <c r="C1430" s="2" t="s">
        <v>3855</v>
      </c>
      <c r="D1430" s="32"/>
      <c r="E1430" s="35" t="s">
        <v>2676</v>
      </c>
    </row>
    <row r="1431" spans="1:5" x14ac:dyDescent="0.2">
      <c r="A1431" s="34" t="str">
        <f>HYPERLINK("http://www.daganm.co.il/sku/C31.15PF-0.2","C31.15PF-0.2")</f>
        <v>C31.15PF-0.2</v>
      </c>
      <c r="B1431" t="s">
        <v>6</v>
      </c>
      <c r="C1431" s="2" t="s">
        <v>3856</v>
      </c>
      <c r="D1431" s="32"/>
      <c r="E1431" s="35" t="s">
        <v>2677</v>
      </c>
    </row>
    <row r="1432" spans="1:5" x14ac:dyDescent="0.2">
      <c r="A1432" s="34" t="str">
        <f>HYPERLINK("http://www.daganm.co.il/sku/C31.70","C31.70")</f>
        <v>C31.70</v>
      </c>
      <c r="B1432" t="s">
        <v>6</v>
      </c>
      <c r="C1432" s="2" t="s">
        <v>1089</v>
      </c>
      <c r="D1432" s="32"/>
      <c r="E1432" s="35" t="s">
        <v>2678</v>
      </c>
    </row>
    <row r="1433" spans="1:5" x14ac:dyDescent="0.2">
      <c r="A1433" s="34" t="str">
        <f>HYPERLINK("http://www.daganm.co.il/sku/C31.71","C31.71")</f>
        <v>C31.71</v>
      </c>
      <c r="B1433" t="s">
        <v>6</v>
      </c>
      <c r="C1433" s="2" t="s">
        <v>1090</v>
      </c>
      <c r="D1433" s="32"/>
      <c r="E1433" s="35" t="s">
        <v>2679</v>
      </c>
    </row>
    <row r="1434" spans="1:5" x14ac:dyDescent="0.2">
      <c r="A1434" s="34" t="str">
        <f>HYPERLINK("http://www.daganm.co.il/sku/C31.74","C31.74")</f>
        <v>C31.74</v>
      </c>
      <c r="B1434" t="s">
        <v>6</v>
      </c>
      <c r="C1434" s="2" t="s">
        <v>1091</v>
      </c>
      <c r="D1434" s="32"/>
      <c r="E1434" s="35" t="s">
        <v>2680</v>
      </c>
    </row>
    <row r="1435" spans="1:5" x14ac:dyDescent="0.2">
      <c r="A1435" s="34" t="str">
        <f>HYPERLINK("http://www.daganm.co.il/sku/C31.75","C31.75")</f>
        <v>C31.75</v>
      </c>
      <c r="B1435" t="s">
        <v>6</v>
      </c>
      <c r="C1435" s="2" t="s">
        <v>1092</v>
      </c>
      <c r="D1435" s="32"/>
      <c r="E1435" s="35" t="s">
        <v>2681</v>
      </c>
    </row>
    <row r="1436" spans="1:5" x14ac:dyDescent="0.2">
      <c r="A1436" s="34" t="str">
        <f>HYPERLINK("http://www.daganm.co.il/sku/C31.77","C31.77")</f>
        <v>C31.77</v>
      </c>
      <c r="B1436" t="s">
        <v>6</v>
      </c>
      <c r="C1436" s="2" t="s">
        <v>1093</v>
      </c>
      <c r="D1436" s="32">
        <v>45442</v>
      </c>
      <c r="E1436" s="35" t="s">
        <v>2683</v>
      </c>
    </row>
    <row r="1437" spans="1:5" x14ac:dyDescent="0.2">
      <c r="A1437" s="34" t="str">
        <f>HYPERLINK("http://www.daganm.co.il/sku/C31.76RA","C31.76RA")</f>
        <v>C31.76RA</v>
      </c>
      <c r="B1437" t="s">
        <v>6</v>
      </c>
      <c r="C1437" s="2" t="s">
        <v>3857</v>
      </c>
      <c r="D1437" s="32"/>
      <c r="E1437" s="35" t="s">
        <v>2682</v>
      </c>
    </row>
    <row r="1438" spans="1:5" x14ac:dyDescent="0.2">
      <c r="A1438" s="34" t="str">
        <f>HYPERLINK("http://www.daganm.co.il/sku/C31.761","C31.761")</f>
        <v>C31.761</v>
      </c>
      <c r="B1438" t="s">
        <v>6</v>
      </c>
      <c r="C1438" s="2" t="s">
        <v>3858</v>
      </c>
      <c r="D1438" s="32"/>
      <c r="E1438" s="35" t="s">
        <v>4018</v>
      </c>
    </row>
    <row r="1439" spans="1:5" x14ac:dyDescent="0.2">
      <c r="A1439" s="34" t="str">
        <f>HYPERLINK("http://www.daganm.co.il/sku/C31.762","C31.762")</f>
        <v>C31.762</v>
      </c>
      <c r="B1439" t="s">
        <v>6</v>
      </c>
      <c r="C1439" s="2" t="s">
        <v>3859</v>
      </c>
      <c r="D1439" s="32"/>
      <c r="E1439" s="35" t="s">
        <v>4019</v>
      </c>
    </row>
    <row r="1440" spans="1:5" x14ac:dyDescent="0.2">
      <c r="A1440" s="34" t="str">
        <f>HYPERLINK("http://www.daganm.co.il/sku/C31.763","C31.763")</f>
        <v>C31.763</v>
      </c>
      <c r="B1440" t="s">
        <v>6</v>
      </c>
      <c r="C1440" s="2" t="s">
        <v>3860</v>
      </c>
      <c r="D1440" s="32"/>
      <c r="E1440" s="35" t="s">
        <v>4020</v>
      </c>
    </row>
    <row r="1441" spans="1:5" x14ac:dyDescent="0.2">
      <c r="B1441"/>
      <c r="C1441" s="33" t="s">
        <v>1095</v>
      </c>
      <c r="D1441" s="32"/>
      <c r="E1441" s="35"/>
    </row>
    <row r="1442" spans="1:5" x14ac:dyDescent="0.2">
      <c r="A1442" s="34" t="str">
        <f>HYPERLINK("http://www.daganm.co.il/sku/C31.270-0.5","C31.270-0.5")</f>
        <v>C31.270-0.5</v>
      </c>
      <c r="B1442" t="s">
        <v>6</v>
      </c>
      <c r="C1442" s="2" t="s">
        <v>1096</v>
      </c>
      <c r="D1442" s="32"/>
      <c r="E1442" s="35" t="s">
        <v>2685</v>
      </c>
    </row>
    <row r="1443" spans="1:5" x14ac:dyDescent="0.2">
      <c r="A1443" s="34" t="str">
        <f>HYPERLINK("http://www.daganm.co.il/sku/C31.270-1","C31.270-1")</f>
        <v>C31.270-1</v>
      </c>
      <c r="B1443" t="s">
        <v>6</v>
      </c>
      <c r="C1443" s="2" t="s">
        <v>1097</v>
      </c>
      <c r="D1443" s="32"/>
      <c r="E1443" s="35" t="s">
        <v>2686</v>
      </c>
    </row>
    <row r="1444" spans="1:5" x14ac:dyDescent="0.2">
      <c r="A1444" s="34" t="str">
        <f>HYPERLINK("http://www.daganm.co.il/sku/C31.270-1.5","C31.270-1.5")</f>
        <v>C31.270-1.5</v>
      </c>
      <c r="B1444" t="s">
        <v>6</v>
      </c>
      <c r="C1444" s="2" t="s">
        <v>1098</v>
      </c>
      <c r="D1444" s="32"/>
      <c r="E1444" s="35" t="s">
        <v>2687</v>
      </c>
    </row>
    <row r="1445" spans="1:5" x14ac:dyDescent="0.2">
      <c r="A1445" s="34" t="str">
        <f>HYPERLINK("http://www.daganm.co.il/sku/C31.286-0.5","C31.286-0.5")</f>
        <v>C31.286-0.5</v>
      </c>
      <c r="B1445" t="s">
        <v>6</v>
      </c>
      <c r="C1445" s="2" t="s">
        <v>3330</v>
      </c>
      <c r="D1445" s="32"/>
      <c r="E1445" s="35" t="s">
        <v>3474</v>
      </c>
    </row>
    <row r="1446" spans="1:5" x14ac:dyDescent="0.2">
      <c r="A1446" s="34" t="str">
        <f>HYPERLINK("http://www.daganm.co.il/sku/C31.286-1","C31.286-1")</f>
        <v>C31.286-1</v>
      </c>
      <c r="B1446" t="s">
        <v>6</v>
      </c>
      <c r="C1446" s="2" t="s">
        <v>1099</v>
      </c>
      <c r="D1446" s="32"/>
      <c r="E1446" s="35" t="s">
        <v>2688</v>
      </c>
    </row>
    <row r="1447" spans="1:5" x14ac:dyDescent="0.2">
      <c r="A1447" s="34" t="str">
        <f>HYPERLINK("http://www.daganm.co.il/sku/C31.286-1.5","C31.286-1.5")</f>
        <v>C31.286-1.5</v>
      </c>
      <c r="B1447" t="s">
        <v>6</v>
      </c>
      <c r="C1447" s="2" t="s">
        <v>1100</v>
      </c>
      <c r="D1447" s="32"/>
      <c r="E1447" s="35" t="s">
        <v>2689</v>
      </c>
    </row>
    <row r="1448" spans="1:5" x14ac:dyDescent="0.2">
      <c r="A1448" s="34" t="str">
        <f>HYPERLINK("http://www.daganm.co.il/sku/C31.286-2","C31.286-2")</f>
        <v>C31.286-2</v>
      </c>
      <c r="B1448" t="s">
        <v>6</v>
      </c>
      <c r="C1448" s="2" t="s">
        <v>1101</v>
      </c>
      <c r="D1448" s="32"/>
      <c r="E1448" s="35" t="s">
        <v>2690</v>
      </c>
    </row>
    <row r="1449" spans="1:5" x14ac:dyDescent="0.2">
      <c r="B1449"/>
      <c r="C1449" s="33" t="s">
        <v>1102</v>
      </c>
      <c r="D1449" s="32"/>
      <c r="E1449" s="35"/>
    </row>
    <row r="1450" spans="1:5" x14ac:dyDescent="0.2">
      <c r="A1450" s="34" t="str">
        <f>HYPERLINK("http://www.daganm.co.il/sku/CBL750-3","CBL750-3")</f>
        <v>CBL750-3</v>
      </c>
      <c r="B1450" t="s">
        <v>6</v>
      </c>
      <c r="C1450" s="2" t="s">
        <v>1103</v>
      </c>
      <c r="D1450" s="32"/>
      <c r="E1450" s="35" t="s">
        <v>2691</v>
      </c>
    </row>
    <row r="1451" spans="1:5" x14ac:dyDescent="0.2">
      <c r="A1451" s="34" t="str">
        <f>HYPERLINK("http://www.daganm.co.il/sku/CBL750-5","CBL750-5")</f>
        <v>CBL750-5</v>
      </c>
      <c r="B1451" t="s">
        <v>6</v>
      </c>
      <c r="C1451" s="2" t="s">
        <v>1104</v>
      </c>
      <c r="D1451" s="32"/>
      <c r="E1451" s="35" t="s">
        <v>2692</v>
      </c>
    </row>
    <row r="1452" spans="1:5" x14ac:dyDescent="0.2">
      <c r="A1452" s="34" t="str">
        <f>HYPERLINK("http://www.daganm.co.il/sku/CBL751-3","CBL751-3")</f>
        <v>CBL751-3</v>
      </c>
      <c r="B1452" t="s">
        <v>6</v>
      </c>
      <c r="C1452" s="2" t="s">
        <v>1105</v>
      </c>
      <c r="D1452" s="32"/>
      <c r="E1452" s="35" t="s">
        <v>2693</v>
      </c>
    </row>
    <row r="1453" spans="1:5" x14ac:dyDescent="0.2">
      <c r="A1453" s="34" t="str">
        <f>HYPERLINK("http://www.daganm.co.il/sku/CBL751-5","CBL751-5")</f>
        <v>CBL751-5</v>
      </c>
      <c r="B1453" t="s">
        <v>6</v>
      </c>
      <c r="C1453" s="2" t="s">
        <v>1106</v>
      </c>
      <c r="D1453" s="32"/>
      <c r="E1453" s="35" t="s">
        <v>2694</v>
      </c>
    </row>
    <row r="1454" spans="1:5" x14ac:dyDescent="0.2">
      <c r="B1454"/>
      <c r="C1454" s="33" t="s">
        <v>1107</v>
      </c>
      <c r="D1454" s="32"/>
      <c r="E1454" s="35"/>
    </row>
    <row r="1455" spans="1:5" x14ac:dyDescent="0.2">
      <c r="A1455" s="34" t="str">
        <f>HYPERLINK("http://www.daganm.co.il/sku/C31.40A","C31.40A")</f>
        <v>C31.40A</v>
      </c>
      <c r="B1455" t="s">
        <v>6</v>
      </c>
      <c r="C1455" s="2" t="s">
        <v>3861</v>
      </c>
      <c r="D1455" s="32"/>
      <c r="E1455" s="35" t="s">
        <v>2695</v>
      </c>
    </row>
    <row r="1456" spans="1:5" x14ac:dyDescent="0.2">
      <c r="A1456" s="34" t="str">
        <f>HYPERLINK("http://www.daganm.co.il/sku/C31.40LC","C31.40LC")</f>
        <v>C31.40LC</v>
      </c>
      <c r="B1456" t="s">
        <v>6</v>
      </c>
      <c r="C1456" s="2" t="s">
        <v>3862</v>
      </c>
      <c r="D1456" s="32"/>
      <c r="E1456" s="35" t="s">
        <v>4021</v>
      </c>
    </row>
    <row r="1457" spans="1:5" x14ac:dyDescent="0.2">
      <c r="A1457" s="34" t="str">
        <f>HYPERLINK("http://www.daganm.co.il/sku/C31.40SL","C31.40SL")</f>
        <v>C31.40SL</v>
      </c>
      <c r="B1457" t="s">
        <v>6</v>
      </c>
      <c r="C1457" s="2" t="s">
        <v>3863</v>
      </c>
      <c r="D1457" s="32"/>
      <c r="E1457" s="35" t="s">
        <v>4022</v>
      </c>
    </row>
    <row r="1458" spans="1:5" x14ac:dyDescent="0.2">
      <c r="A1458" s="34" t="str">
        <f>HYPERLINK("http://www.daganm.co.il/sku/C31.40","C31.40")</f>
        <v>C31.40</v>
      </c>
      <c r="B1458" t="s">
        <v>6</v>
      </c>
      <c r="C1458" s="2" t="s">
        <v>3863</v>
      </c>
      <c r="D1458" s="32"/>
      <c r="E1458" s="35" t="s">
        <v>2696</v>
      </c>
    </row>
    <row r="1459" spans="1:5" x14ac:dyDescent="0.2">
      <c r="A1459" s="34" t="str">
        <f>HYPERLINK("http://www.daganm.co.il/sku/C31.408","C31.408")</f>
        <v>C31.408</v>
      </c>
      <c r="B1459" t="s">
        <v>6</v>
      </c>
      <c r="C1459" s="2" t="s">
        <v>3563</v>
      </c>
      <c r="D1459" s="32"/>
      <c r="E1459" s="35" t="s">
        <v>3659</v>
      </c>
    </row>
    <row r="1460" spans="1:5" x14ac:dyDescent="0.2">
      <c r="A1460" s="34" t="str">
        <f>HYPERLINK("http://www.daganm.co.il/sku/C31.41","C31.41")</f>
        <v>C31.41</v>
      </c>
      <c r="B1460" t="s">
        <v>6</v>
      </c>
      <c r="C1460" s="2" t="s">
        <v>1108</v>
      </c>
      <c r="D1460" s="36"/>
      <c r="E1460" s="35" t="s">
        <v>2697</v>
      </c>
    </row>
    <row r="1461" spans="1:5" x14ac:dyDescent="0.2">
      <c r="A1461" s="34" t="str">
        <f>HYPERLINK("http://www.daganm.co.il/sku/C31.42","C31.42")</f>
        <v>C31.42</v>
      </c>
      <c r="B1461" t="s">
        <v>6</v>
      </c>
      <c r="C1461" s="2" t="s">
        <v>1109</v>
      </c>
      <c r="D1461" s="32"/>
      <c r="E1461" s="35" t="s">
        <v>2698</v>
      </c>
    </row>
    <row r="1462" spans="1:5" x14ac:dyDescent="0.2">
      <c r="A1462" s="34" t="str">
        <f>HYPERLINK("http://www.daganm.co.il/sku/C31.44","C31.44")</f>
        <v>C31.44</v>
      </c>
      <c r="B1462" t="s">
        <v>6</v>
      </c>
      <c r="C1462" s="2" t="s">
        <v>4148</v>
      </c>
      <c r="D1462" s="32"/>
      <c r="E1462" s="35" t="s">
        <v>2699</v>
      </c>
    </row>
    <row r="1463" spans="1:5" x14ac:dyDescent="0.2">
      <c r="A1463" s="34" t="str">
        <f>HYPERLINK("http://www.daganm.co.il/sku/C31.448","C31.448")</f>
        <v>C31.448</v>
      </c>
      <c r="B1463" t="s">
        <v>6</v>
      </c>
      <c r="C1463" s="2" t="s">
        <v>3564</v>
      </c>
      <c r="D1463" s="32"/>
      <c r="E1463" s="35" t="s">
        <v>3660</v>
      </c>
    </row>
    <row r="1464" spans="1:5" x14ac:dyDescent="0.2">
      <c r="A1464" s="34" t="str">
        <f>HYPERLINK("http://www.daganm.co.il/sku/C31.43","C31.43")</f>
        <v>C31.43</v>
      </c>
      <c r="B1464" t="s">
        <v>6</v>
      </c>
      <c r="C1464" s="2" t="s">
        <v>1110</v>
      </c>
      <c r="D1464" s="32"/>
      <c r="E1464" s="32" t="s">
        <v>2700</v>
      </c>
    </row>
    <row r="1465" spans="1:5" x14ac:dyDescent="0.2">
      <c r="A1465" s="34" t="str">
        <f>HYPERLINK("http://www.daganm.co.il/sku/C31.40A-1.8","C31.40A-1.8")</f>
        <v>C31.40A-1.8</v>
      </c>
      <c r="B1465" t="s">
        <v>6</v>
      </c>
      <c r="C1465" s="2" t="s">
        <v>4149</v>
      </c>
      <c r="D1465" s="32"/>
      <c r="E1465" s="35" t="s">
        <v>2701</v>
      </c>
    </row>
    <row r="1466" spans="1:5" x14ac:dyDescent="0.2">
      <c r="A1466" s="34" t="str">
        <f>HYPERLINK("http://www.daganm.co.il/sku/C31.40LC-1.8","C31.40LC-1.8")</f>
        <v>C31.40LC-1.8</v>
      </c>
      <c r="B1466" t="s">
        <v>6</v>
      </c>
      <c r="C1466" s="2" t="s">
        <v>4150</v>
      </c>
      <c r="D1466" s="32">
        <v>45442</v>
      </c>
      <c r="E1466" s="35" t="s">
        <v>4023</v>
      </c>
    </row>
    <row r="1467" spans="1:5" x14ac:dyDescent="0.2">
      <c r="A1467" s="34" t="str">
        <f>HYPERLINK("http://www.daganm.co.il/sku/C31.40-1.8","C31.40-1.8")</f>
        <v>C31.40-1.8</v>
      </c>
      <c r="B1467" t="s">
        <v>6</v>
      </c>
      <c r="C1467" s="2" t="s">
        <v>4151</v>
      </c>
      <c r="D1467" s="32"/>
      <c r="E1467" s="35" t="s">
        <v>2702</v>
      </c>
    </row>
    <row r="1468" spans="1:5" x14ac:dyDescent="0.2">
      <c r="A1468" s="34" t="str">
        <f>HYPERLINK("http://www.daganm.co.il/sku/C31.40SL-1.8","C31.40SL-1.8")</f>
        <v>C31.40SL-1.8</v>
      </c>
      <c r="B1468" t="s">
        <v>6</v>
      </c>
      <c r="C1468" s="2" t="s">
        <v>3864</v>
      </c>
      <c r="D1468" s="32"/>
      <c r="E1468" s="35" t="s">
        <v>4024</v>
      </c>
    </row>
    <row r="1469" spans="1:5" x14ac:dyDescent="0.2">
      <c r="A1469" s="34" t="str">
        <f>HYPERLINK("http://www.daganm.co.il/sku/C31.40SL-2","C31.40SL-2")</f>
        <v>C31.40SL-2</v>
      </c>
      <c r="B1469" t="s">
        <v>6</v>
      </c>
      <c r="C1469" s="2" t="s">
        <v>3865</v>
      </c>
      <c r="D1469" s="32"/>
      <c r="E1469" s="35" t="s">
        <v>3475</v>
      </c>
    </row>
    <row r="1470" spans="1:5" x14ac:dyDescent="0.2">
      <c r="A1470" s="34" t="str">
        <f>HYPERLINK("http://www.daganm.co.il/sku/C31.40SL-3","C31.40SL-3")</f>
        <v>C31.40SL-3</v>
      </c>
      <c r="B1470" t="s">
        <v>6</v>
      </c>
      <c r="C1470" s="2" t="s">
        <v>3866</v>
      </c>
      <c r="D1470" s="32"/>
      <c r="E1470" s="35" t="s">
        <v>4025</v>
      </c>
    </row>
    <row r="1471" spans="1:5" x14ac:dyDescent="0.2">
      <c r="A1471" s="34" t="str">
        <f>HYPERLINK("http://www.daganm.co.il/sku/C31.408-1.8","C31.408-1.8")</f>
        <v>C31.408-1.8</v>
      </c>
      <c r="B1471" t="s">
        <v>6</v>
      </c>
      <c r="C1471" s="2" t="s">
        <v>3565</v>
      </c>
      <c r="D1471" s="32"/>
      <c r="E1471" s="35" t="s">
        <v>3661</v>
      </c>
    </row>
    <row r="1472" spans="1:5" x14ac:dyDescent="0.2">
      <c r="A1472" s="34" t="str">
        <f>HYPERLINK("http://www.daganm.co.il/sku/C31.41-1.8","C31.41-1.8")</f>
        <v>C31.41-1.8</v>
      </c>
      <c r="B1472" t="s">
        <v>6</v>
      </c>
      <c r="C1472" s="2" t="s">
        <v>1111</v>
      </c>
      <c r="D1472" s="32"/>
      <c r="E1472" s="35" t="s">
        <v>2703</v>
      </c>
    </row>
    <row r="1473" spans="1:5" x14ac:dyDescent="0.2">
      <c r="A1473" s="34" t="str">
        <f>HYPERLINK("http://www.daganm.co.il/sku/C31.42-1.8","C31.42-1.8")</f>
        <v>C31.42-1.8</v>
      </c>
      <c r="B1473" t="s">
        <v>6</v>
      </c>
      <c r="C1473" s="2" t="s">
        <v>1112</v>
      </c>
      <c r="D1473" s="32"/>
      <c r="E1473" s="35" t="s">
        <v>2704</v>
      </c>
    </row>
    <row r="1474" spans="1:5" x14ac:dyDescent="0.2">
      <c r="A1474" s="34" t="str">
        <f>HYPERLINK("http://www.daganm.co.il/sku/C31.44-1.8","C31.44-1.8")</f>
        <v>C31.44-1.8</v>
      </c>
      <c r="B1474" t="s">
        <v>6</v>
      </c>
      <c r="C1474" s="2" t="s">
        <v>3867</v>
      </c>
      <c r="D1474" s="32"/>
      <c r="E1474" s="32" t="s">
        <v>2705</v>
      </c>
    </row>
    <row r="1475" spans="1:5" x14ac:dyDescent="0.2">
      <c r="A1475" s="34" t="str">
        <f>HYPERLINK("http://www.daganm.co.il/sku/C31.44-3","C31.44-3")</f>
        <v>C31.44-3</v>
      </c>
      <c r="B1475" t="s">
        <v>6</v>
      </c>
      <c r="C1475" s="2" t="s">
        <v>1113</v>
      </c>
      <c r="D1475" s="32"/>
      <c r="E1475" s="35" t="s">
        <v>2706</v>
      </c>
    </row>
    <row r="1476" spans="1:5" x14ac:dyDescent="0.2">
      <c r="A1476" s="34" t="str">
        <f>HYPERLINK("http://www.daganm.co.il/sku/C31.448-1.8","C31.448-1.8")</f>
        <v>C31.448-1.8</v>
      </c>
      <c r="B1476" t="s">
        <v>6</v>
      </c>
      <c r="C1476" s="2" t="s">
        <v>3566</v>
      </c>
      <c r="D1476" s="32"/>
      <c r="E1476" s="35" t="s">
        <v>3662</v>
      </c>
    </row>
    <row r="1477" spans="1:5" x14ac:dyDescent="0.2">
      <c r="A1477" s="34" t="str">
        <f>HYPERLINK("http://www.daganm.co.il/sku/C31.80","C31.80")</f>
        <v>C31.80</v>
      </c>
      <c r="B1477" t="s">
        <v>6</v>
      </c>
      <c r="C1477" s="2" t="s">
        <v>1114</v>
      </c>
      <c r="D1477" s="32" t="s">
        <v>1630</v>
      </c>
      <c r="E1477" s="35" t="s">
        <v>2707</v>
      </c>
    </row>
    <row r="1478" spans="1:5" x14ac:dyDescent="0.2">
      <c r="A1478" s="34" t="str">
        <f>HYPERLINK("http://www.daganm.co.il/sku/C31.81","C31.81")</f>
        <v>C31.81</v>
      </c>
      <c r="B1478" t="s">
        <v>6</v>
      </c>
      <c r="C1478" s="2" t="s">
        <v>1115</v>
      </c>
      <c r="D1478" s="32"/>
      <c r="E1478" s="35" t="s">
        <v>2708</v>
      </c>
    </row>
    <row r="1479" spans="1:5" x14ac:dyDescent="0.2">
      <c r="A1479" s="34" t="str">
        <f>HYPERLINK("http://www.daganm.co.il/sku/C31.82","C31.82")</f>
        <v>C31.82</v>
      </c>
      <c r="B1479" t="s">
        <v>6</v>
      </c>
      <c r="C1479" s="2" t="s">
        <v>1116</v>
      </c>
      <c r="D1479" s="32"/>
      <c r="E1479" s="35" t="s">
        <v>2709</v>
      </c>
    </row>
    <row r="1480" spans="1:5" x14ac:dyDescent="0.2">
      <c r="A1480" s="34" t="str">
        <f>HYPERLINK("http://www.daganm.co.il/sku/C31.52","C31.52")</f>
        <v>C31.52</v>
      </c>
      <c r="B1480" t="s">
        <v>6</v>
      </c>
      <c r="C1480" s="2" t="s">
        <v>3567</v>
      </c>
      <c r="D1480" s="36"/>
      <c r="E1480" s="35" t="s">
        <v>2710</v>
      </c>
    </row>
    <row r="1481" spans="1:5" x14ac:dyDescent="0.2">
      <c r="A1481" s="34" t="str">
        <f>HYPERLINK("http://www.daganm.co.il/sku/C31.53","C31.53")</f>
        <v>C31.53</v>
      </c>
      <c r="B1481" t="s">
        <v>6</v>
      </c>
      <c r="C1481" s="2" t="s">
        <v>1117</v>
      </c>
      <c r="D1481" s="32"/>
      <c r="E1481" s="35" t="s">
        <v>2711</v>
      </c>
    </row>
    <row r="1482" spans="1:5" x14ac:dyDescent="0.2">
      <c r="A1482" s="34" t="str">
        <f>HYPERLINK("http://www.daganm.co.il/sku/C31.50","C31.50")</f>
        <v>C31.50</v>
      </c>
      <c r="B1482" t="s">
        <v>6</v>
      </c>
      <c r="C1482" s="2" t="s">
        <v>3868</v>
      </c>
      <c r="D1482" s="32"/>
      <c r="E1482" s="35" t="s">
        <v>2765</v>
      </c>
    </row>
    <row r="1483" spans="1:5" x14ac:dyDescent="0.2">
      <c r="A1483" s="34" t="str">
        <f>HYPERLINK("http://www.daganm.co.il/sku/C31.51RL","C31.51RL")</f>
        <v>C31.51RL</v>
      </c>
      <c r="B1483" t="s">
        <v>6</v>
      </c>
      <c r="C1483" s="2" t="s">
        <v>3331</v>
      </c>
      <c r="D1483" s="32"/>
      <c r="E1483" s="35" t="s">
        <v>3476</v>
      </c>
    </row>
    <row r="1484" spans="1:5" x14ac:dyDescent="0.2">
      <c r="A1484" s="34" t="str">
        <f>HYPERLINK("http://www.daganm.co.il/sku/C31.51C2.5","C31.51C2.5")</f>
        <v>C31.51C2.5</v>
      </c>
      <c r="B1484" t="s">
        <v>6</v>
      </c>
      <c r="C1484" s="2" t="s">
        <v>1118</v>
      </c>
      <c r="D1484" s="32"/>
      <c r="E1484" s="35" t="s">
        <v>2712</v>
      </c>
    </row>
    <row r="1485" spans="1:5" x14ac:dyDescent="0.2">
      <c r="A1485" s="34" t="str">
        <f>HYPERLINK("http://www.daganm.co.il/sku/C31.51G","C31.51G")</f>
        <v>C31.51G</v>
      </c>
      <c r="B1485" t="s">
        <v>6</v>
      </c>
      <c r="C1485" s="2" t="s">
        <v>1119</v>
      </c>
      <c r="D1485" s="32"/>
      <c r="E1485" s="35" t="s">
        <v>2713</v>
      </c>
    </row>
    <row r="1486" spans="1:5" x14ac:dyDescent="0.2">
      <c r="A1486" s="34" t="str">
        <f>HYPERLINK("http://www.daganm.co.il/sku/C31.56A","C31.56A")</f>
        <v>C31.56A</v>
      </c>
      <c r="B1486" t="s">
        <v>6</v>
      </c>
      <c r="C1486" s="2" t="s">
        <v>1120</v>
      </c>
      <c r="D1486" s="32"/>
      <c r="E1486" s="35" t="s">
        <v>2714</v>
      </c>
    </row>
    <row r="1487" spans="1:5" x14ac:dyDescent="0.2">
      <c r="A1487" s="34" t="str">
        <f>HYPERLINK("http://www.daganm.co.il/sku/C31.57","C31.57")</f>
        <v>C31.57</v>
      </c>
      <c r="B1487" t="s">
        <v>6</v>
      </c>
      <c r="C1487" s="2" t="s">
        <v>1121</v>
      </c>
      <c r="D1487" s="32"/>
      <c r="E1487" s="35" t="s">
        <v>2715</v>
      </c>
    </row>
    <row r="1488" spans="1:5" x14ac:dyDescent="0.2">
      <c r="A1488" s="34" t="str">
        <f>HYPERLINK("http://www.daganm.co.il/sku/C31.59","C31.59")</f>
        <v>C31.59</v>
      </c>
      <c r="B1488" t="s">
        <v>6</v>
      </c>
      <c r="C1488" s="2" t="s">
        <v>3332</v>
      </c>
      <c r="D1488" s="32"/>
      <c r="E1488" s="35" t="s">
        <v>2716</v>
      </c>
    </row>
    <row r="1489" spans="1:5" x14ac:dyDescent="0.2">
      <c r="A1489" s="34" t="str">
        <f>HYPERLINK("http://www.daganm.co.il/sku/C31.55K","C31.55K")</f>
        <v>C31.55K</v>
      </c>
      <c r="B1489" t="s">
        <v>6</v>
      </c>
      <c r="C1489" s="2" t="s">
        <v>3333</v>
      </c>
      <c r="D1489" s="32"/>
      <c r="E1489" s="35" t="s">
        <v>2717</v>
      </c>
    </row>
    <row r="1490" spans="1:5" x14ac:dyDescent="0.2">
      <c r="A1490" s="34" t="str">
        <f>HYPERLINK("http://www.daganm.co.il/sku/C31.541","C31.541")</f>
        <v>C31.541</v>
      </c>
      <c r="B1490" t="s">
        <v>6</v>
      </c>
      <c r="C1490" s="2" t="s">
        <v>3334</v>
      </c>
      <c r="D1490" s="32"/>
      <c r="E1490" s="35" t="s">
        <v>2718</v>
      </c>
    </row>
    <row r="1491" spans="1:5" x14ac:dyDescent="0.2">
      <c r="A1491" s="34" t="str">
        <f>HYPERLINK("http://www.daganm.co.il/sku/CBL145FT","CBL145FT")</f>
        <v>CBL145FT</v>
      </c>
      <c r="B1491" t="s">
        <v>6</v>
      </c>
      <c r="C1491" s="2" t="s">
        <v>1123</v>
      </c>
      <c r="D1491" s="32"/>
      <c r="E1491" s="35" t="s">
        <v>2720</v>
      </c>
    </row>
    <row r="1492" spans="1:5" x14ac:dyDescent="0.2">
      <c r="A1492" s="34" t="str">
        <f>HYPERLINK("http://www.daganm.co.il/sku/CMP-USBSAT6","CMP-USBSAT6")</f>
        <v>CMP-USBSAT6</v>
      </c>
      <c r="B1492" t="s">
        <v>6</v>
      </c>
      <c r="C1492" s="2" t="s">
        <v>1124</v>
      </c>
      <c r="D1492" s="32"/>
      <c r="E1492" s="35" t="s">
        <v>2721</v>
      </c>
    </row>
    <row r="1493" spans="1:5" x14ac:dyDescent="0.2">
      <c r="B1493"/>
      <c r="C1493" s="33" t="s">
        <v>3335</v>
      </c>
      <c r="D1493" s="32"/>
      <c r="E1493" s="35"/>
    </row>
    <row r="1494" spans="1:5" x14ac:dyDescent="0.2">
      <c r="A1494" s="34" t="str">
        <f>HYPERLINK("http://www.daganm.co.il/sku/ENC11","ENC11")</f>
        <v>ENC11</v>
      </c>
      <c r="B1494" t="s">
        <v>6</v>
      </c>
      <c r="C1494" s="2" t="s">
        <v>3336</v>
      </c>
      <c r="D1494" s="36"/>
      <c r="E1494" s="35" t="s">
        <v>3477</v>
      </c>
    </row>
    <row r="1495" spans="1:5" x14ac:dyDescent="0.2">
      <c r="A1495" s="34" t="str">
        <f>HYPERLINK("http://www.daganm.co.il/sku/ENC15","ENC15")</f>
        <v>ENC15</v>
      </c>
      <c r="B1495" t="s">
        <v>6</v>
      </c>
      <c r="C1495" s="2" t="s">
        <v>1122</v>
      </c>
      <c r="D1495" s="32"/>
      <c r="E1495" s="35" t="s">
        <v>2719</v>
      </c>
    </row>
    <row r="1496" spans="1:5" x14ac:dyDescent="0.2">
      <c r="A1496" s="34" t="str">
        <f>HYPERLINK("http://www.daganm.co.il/sku/ENC21","ENC21")</f>
        <v>ENC21</v>
      </c>
      <c r="B1496" t="s">
        <v>6</v>
      </c>
      <c r="C1496" s="2" t="s">
        <v>3337</v>
      </c>
      <c r="D1496" s="32"/>
      <c r="E1496" s="35" t="s">
        <v>3478</v>
      </c>
    </row>
    <row r="1497" spans="1:5" x14ac:dyDescent="0.2">
      <c r="A1497" s="34" t="str">
        <f>HYPERLINK("http://www.daganm.co.il/sku/ENC31","ENC31")</f>
        <v>ENC31</v>
      </c>
      <c r="B1497" t="s">
        <v>6</v>
      </c>
      <c r="C1497" s="2" t="s">
        <v>3338</v>
      </c>
      <c r="D1497" s="32"/>
      <c r="E1497" s="35" t="s">
        <v>3479</v>
      </c>
    </row>
    <row r="1498" spans="1:5" x14ac:dyDescent="0.2">
      <c r="A1498" s="34" t="str">
        <f>HYPERLINK("http://www.daganm.co.il/sku/DOCK10","DOCK10")</f>
        <v>DOCK10</v>
      </c>
      <c r="B1498" t="s">
        <v>6</v>
      </c>
      <c r="C1498" s="2" t="s">
        <v>3339</v>
      </c>
      <c r="D1498" s="32"/>
      <c r="E1498" s="35" t="s">
        <v>3480</v>
      </c>
    </row>
    <row r="1499" spans="1:5" x14ac:dyDescent="0.2">
      <c r="A1499" s="34" t="str">
        <f>HYPERLINK("http://www.daganm.co.il/sku/DOCK11","DOCK11")</f>
        <v>DOCK11</v>
      </c>
      <c r="B1499" t="s">
        <v>6</v>
      </c>
      <c r="C1499" s="2" t="s">
        <v>3340</v>
      </c>
      <c r="D1499" s="32"/>
      <c r="E1499" s="35" t="s">
        <v>3481</v>
      </c>
    </row>
    <row r="1500" spans="1:5" x14ac:dyDescent="0.2">
      <c r="A1500" s="34" t="str">
        <f>HYPERLINK("http://www.daganm.co.il/sku/DOCK12","DOCK12")</f>
        <v>DOCK12</v>
      </c>
      <c r="B1500" t="s">
        <v>6</v>
      </c>
      <c r="C1500" s="2" t="s">
        <v>3568</v>
      </c>
      <c r="D1500" s="32"/>
      <c r="E1500" s="35" t="s">
        <v>3482</v>
      </c>
    </row>
    <row r="1501" spans="1:5" x14ac:dyDescent="0.2">
      <c r="A1501" s="34" t="str">
        <f>HYPERLINK("http://www.daganm.co.il/sku/DOCK13","DOCK13")</f>
        <v>DOCK13</v>
      </c>
      <c r="B1501" t="s">
        <v>6</v>
      </c>
      <c r="C1501" s="2" t="s">
        <v>3341</v>
      </c>
      <c r="D1501" s="32"/>
      <c r="E1501" s="35" t="s">
        <v>3483</v>
      </c>
    </row>
    <row r="1502" spans="1:5" x14ac:dyDescent="0.2">
      <c r="A1502" s="34" t="str">
        <f>HYPERLINK("http://www.daganm.co.il/sku/TRAY10","TRAY10")</f>
        <v>TRAY10</v>
      </c>
      <c r="B1502" t="s">
        <v>6</v>
      </c>
      <c r="C1502" s="2" t="s">
        <v>3342</v>
      </c>
      <c r="D1502" s="36"/>
      <c r="E1502" s="35" t="s">
        <v>3484</v>
      </c>
    </row>
    <row r="1503" spans="1:5" x14ac:dyDescent="0.2">
      <c r="B1503"/>
      <c r="C1503" s="33" t="s">
        <v>57</v>
      </c>
      <c r="D1503" s="32"/>
      <c r="E1503" s="35"/>
    </row>
    <row r="1504" spans="1:5" x14ac:dyDescent="0.2">
      <c r="A1504" s="34" t="str">
        <f>HYPERLINK("http://www.daganm.co.il/sku/CABLE-146-1.8","CABLE-146-1.8")</f>
        <v>CABLE-146-1.8</v>
      </c>
      <c r="B1504" t="s">
        <v>6</v>
      </c>
      <c r="C1504" s="2" t="s">
        <v>1125</v>
      </c>
      <c r="D1504" s="32"/>
      <c r="E1504" s="35" t="s">
        <v>2722</v>
      </c>
    </row>
    <row r="1505" spans="1:5" x14ac:dyDescent="0.2">
      <c r="A1505" s="34" t="str">
        <f>HYPERLINK("http://www.daganm.co.il/sku/CABLE-146FT","CABLE-146FT")</f>
        <v>CABLE-146FT</v>
      </c>
      <c r="B1505" t="s">
        <v>6</v>
      </c>
      <c r="C1505" s="2" t="s">
        <v>1126</v>
      </c>
      <c r="D1505" s="32"/>
      <c r="E1505" s="35" t="s">
        <v>2723</v>
      </c>
    </row>
    <row r="1506" spans="1:5" x14ac:dyDescent="0.2">
      <c r="A1506" s="34" t="str">
        <f>HYPERLINK("http://www.daganm.co.il/sku/CABLE-146LC","CABLE-146LC")</f>
        <v>CABLE-146LC</v>
      </c>
      <c r="B1506" t="s">
        <v>6</v>
      </c>
      <c r="C1506" s="2" t="s">
        <v>1127</v>
      </c>
      <c r="D1506" s="32"/>
      <c r="E1506" s="35" t="s">
        <v>2724</v>
      </c>
    </row>
    <row r="1507" spans="1:5" x14ac:dyDescent="0.2">
      <c r="A1507" s="34" t="str">
        <f>HYPERLINK("http://www.daganm.co.il/sku/CMP-USBSER20","CMP-USBSER20")</f>
        <v>CMP-USBSER20</v>
      </c>
      <c r="B1507" t="s">
        <v>6</v>
      </c>
      <c r="C1507" s="2" t="s">
        <v>3869</v>
      </c>
      <c r="D1507" s="32"/>
      <c r="E1507" s="35" t="s">
        <v>2725</v>
      </c>
    </row>
    <row r="1508" spans="1:5" x14ac:dyDescent="0.2">
      <c r="A1508" s="34" t="str">
        <f>HYPERLINK("http://www.daganm.co.il/sku/TFL20101019","TFL20101019")</f>
        <v>TFL20101019</v>
      </c>
      <c r="B1508" t="s">
        <v>6</v>
      </c>
      <c r="C1508" s="2" t="s">
        <v>3870</v>
      </c>
      <c r="D1508" s="32"/>
      <c r="E1508" s="35" t="s">
        <v>3628</v>
      </c>
    </row>
    <row r="1509" spans="1:5" x14ac:dyDescent="0.2">
      <c r="A1509" s="34" t="str">
        <f>HYPERLINK("http://www.daganm.co.il/sku/CABLE-144C","CABLE-144C")</f>
        <v>CABLE-144C</v>
      </c>
      <c r="B1509" t="s">
        <v>6</v>
      </c>
      <c r="C1509" s="2" t="s">
        <v>1128</v>
      </c>
      <c r="D1509" s="32"/>
      <c r="E1509" s="35" t="s">
        <v>2726</v>
      </c>
    </row>
    <row r="1510" spans="1:5" x14ac:dyDescent="0.2">
      <c r="A1510" s="34" t="str">
        <f>HYPERLINK("http://www.daganm.co.il/sku/CABLE-144D","CABLE-144D")</f>
        <v>CABLE-144D</v>
      </c>
      <c r="B1510" t="s">
        <v>6</v>
      </c>
      <c r="C1510" s="2" t="s">
        <v>1129</v>
      </c>
      <c r="D1510" s="32"/>
      <c r="E1510" s="35" t="s">
        <v>2727</v>
      </c>
    </row>
    <row r="1511" spans="1:5" x14ac:dyDescent="0.2">
      <c r="A1511" s="34" t="str">
        <f>HYPERLINK("http://www.daganm.co.il/sku/CABLE-485-2","CABLE-485-2")</f>
        <v>CABLE-485-2</v>
      </c>
      <c r="B1511" t="s">
        <v>6</v>
      </c>
      <c r="C1511" s="2" t="s">
        <v>1130</v>
      </c>
      <c r="D1511" s="32"/>
      <c r="E1511" s="35" t="s">
        <v>2728</v>
      </c>
    </row>
    <row r="1512" spans="1:5" x14ac:dyDescent="0.2">
      <c r="A1512" s="34" t="str">
        <f>HYPERLINK("http://www.daganm.co.il/sku/ADAP-485","ADAP-485")</f>
        <v>ADAP-485</v>
      </c>
      <c r="B1512" t="s">
        <v>6</v>
      </c>
      <c r="C1512" s="2" t="s">
        <v>3871</v>
      </c>
      <c r="D1512" s="32"/>
      <c r="E1512" s="35" t="s">
        <v>2729</v>
      </c>
    </row>
    <row r="1513" spans="1:5" x14ac:dyDescent="0.2">
      <c r="A1513" s="34" t="str">
        <f>HYPERLINK("http://www.daganm.co.il/sku/ADAP-487","ADAP-487")</f>
        <v>ADAP-487</v>
      </c>
      <c r="B1513" t="s">
        <v>6</v>
      </c>
      <c r="C1513" s="2" t="s">
        <v>3872</v>
      </c>
      <c r="D1513" s="32"/>
      <c r="E1513" s="35" t="s">
        <v>2730</v>
      </c>
    </row>
    <row r="1514" spans="1:5" x14ac:dyDescent="0.2">
      <c r="A1514" s="34" t="str">
        <f>HYPERLINK("http://www.daganm.co.il/sku/ADAP-4813","ADAP-4813")</f>
        <v>ADAP-4813</v>
      </c>
      <c r="B1514" t="s">
        <v>6</v>
      </c>
      <c r="C1514" s="2" t="s">
        <v>3873</v>
      </c>
      <c r="D1514" s="36"/>
      <c r="E1514" s="35" t="s">
        <v>4026</v>
      </c>
    </row>
    <row r="1515" spans="1:5" x14ac:dyDescent="0.2">
      <c r="A1515" s="34" t="str">
        <f>HYPERLINK("http://www.daganm.co.il/sku/CMP-USBSAT5","CMP-USBSAT5")</f>
        <v>CMP-USBSAT5</v>
      </c>
      <c r="B1515" t="s">
        <v>6</v>
      </c>
      <c r="C1515" s="2" t="s">
        <v>1131</v>
      </c>
      <c r="D1515" s="32"/>
      <c r="E1515" s="35" t="s">
        <v>2731</v>
      </c>
    </row>
    <row r="1516" spans="1:5" x14ac:dyDescent="0.2">
      <c r="A1516" s="34" t="str">
        <f>HYPERLINK("http://www.daganm.co.il/sku/CMP-USBSAT7","CMP-USBSAT7")</f>
        <v>CMP-USBSAT7</v>
      </c>
      <c r="B1516" t="s">
        <v>6</v>
      </c>
      <c r="C1516" s="2" t="s">
        <v>3874</v>
      </c>
      <c r="D1516" s="32"/>
      <c r="E1516" s="32" t="s">
        <v>2732</v>
      </c>
    </row>
    <row r="1517" spans="1:5" x14ac:dyDescent="0.2">
      <c r="A1517" s="34" t="str">
        <f>HYPERLINK("http://www.daganm.co.il/sku/CMP-USBSAT3","CMP-USBSAT3")</f>
        <v>CMP-USBSAT3</v>
      </c>
      <c r="B1517" t="s">
        <v>6</v>
      </c>
      <c r="C1517" s="2" t="s">
        <v>1132</v>
      </c>
      <c r="D1517" s="32"/>
      <c r="E1517" s="35" t="s">
        <v>2733</v>
      </c>
    </row>
    <row r="1518" spans="1:5" x14ac:dyDescent="0.2">
      <c r="A1518" s="34" t="str">
        <f>HYPERLINK("http://www.daganm.co.il/sku/BTA10-V5","BTA10-V5")</f>
        <v>BTA10-V5</v>
      </c>
      <c r="B1518" t="s">
        <v>6</v>
      </c>
      <c r="C1518" s="2" t="s">
        <v>1133</v>
      </c>
      <c r="D1518" s="32"/>
      <c r="E1518" s="35" t="s">
        <v>2734</v>
      </c>
    </row>
    <row r="1519" spans="1:5" x14ac:dyDescent="0.2">
      <c r="A1519" s="34" t="str">
        <f>HYPERLINK("http://www.daganm.co.il/sku/BTA10-V5.3","BTA10-V5.3")</f>
        <v>BTA10-V5.3</v>
      </c>
      <c r="B1519" t="s">
        <v>6</v>
      </c>
      <c r="C1519" s="2" t="s">
        <v>3875</v>
      </c>
      <c r="D1519" s="32"/>
      <c r="E1519" s="35" t="s">
        <v>4027</v>
      </c>
    </row>
    <row r="1520" spans="1:5" x14ac:dyDescent="0.2">
      <c r="A1520" s="34" t="str">
        <f>HYPERLINK("http://www.daganm.co.il/sku/BTA20","BTA20")</f>
        <v>BTA20</v>
      </c>
      <c r="B1520" t="s">
        <v>6</v>
      </c>
      <c r="C1520" s="2" t="s">
        <v>1134</v>
      </c>
      <c r="D1520" s="32"/>
      <c r="E1520" s="35" t="s">
        <v>2735</v>
      </c>
    </row>
    <row r="1521" spans="1:5" x14ac:dyDescent="0.2">
      <c r="A1521" s="34" t="str">
        <f>HYPERLINK("http://www.daganm.co.il/sku/CARDRW2-1","CARDRW2-1")</f>
        <v>CARDRW2-1</v>
      </c>
      <c r="B1521" t="s">
        <v>6</v>
      </c>
      <c r="C1521" s="2" t="s">
        <v>1135</v>
      </c>
      <c r="D1521" s="32"/>
      <c r="E1521" s="32" t="s">
        <v>2736</v>
      </c>
    </row>
    <row r="1522" spans="1:5" x14ac:dyDescent="0.2">
      <c r="A1522" s="34" t="str">
        <f>HYPERLINK("http://www.daganm.co.il/sku/CARDRW3-1","CARDRW3-1")</f>
        <v>CARDRW3-1</v>
      </c>
      <c r="B1522" t="s">
        <v>6</v>
      </c>
      <c r="C1522" s="2" t="s">
        <v>1136</v>
      </c>
      <c r="D1522" s="32"/>
      <c r="E1522" s="35" t="s">
        <v>2737</v>
      </c>
    </row>
    <row r="1523" spans="1:5" x14ac:dyDescent="0.2">
      <c r="A1523" s="34" t="str">
        <f>HYPERLINK("http://www.daganm.co.il/sku/CARDRW3-2","CARDRW3-2")</f>
        <v>CARDRW3-2</v>
      </c>
      <c r="B1523" t="s">
        <v>6</v>
      </c>
      <c r="C1523" s="2" t="s">
        <v>1136</v>
      </c>
      <c r="D1523" s="32"/>
      <c r="E1523" s="35" t="s">
        <v>4028</v>
      </c>
    </row>
    <row r="1524" spans="1:5" x14ac:dyDescent="0.2">
      <c r="A1524" s="34" t="str">
        <f>HYPERLINK("http://www.daganm.co.il/sku/CMP-SOUNDUSB","CMP-SOUNDUSB")</f>
        <v>CMP-SOUNDUSB</v>
      </c>
      <c r="B1524" t="s">
        <v>6</v>
      </c>
      <c r="C1524" s="2" t="s">
        <v>1137</v>
      </c>
      <c r="D1524" s="32"/>
      <c r="E1524" s="35" t="s">
        <v>2738</v>
      </c>
    </row>
    <row r="1525" spans="1:5" x14ac:dyDescent="0.2">
      <c r="A1525" s="34" t="str">
        <f>HYPERLINK("http://www.daganm.co.il/sku/CMP-SOUNDUSB7","CMP-SOUNDUSB7")</f>
        <v>CMP-SOUNDUSB7</v>
      </c>
      <c r="B1525" t="s">
        <v>6</v>
      </c>
      <c r="C1525" s="2" t="s">
        <v>1138</v>
      </c>
      <c r="D1525" s="32"/>
      <c r="E1525" s="35" t="s">
        <v>2739</v>
      </c>
    </row>
    <row r="1526" spans="1:5" x14ac:dyDescent="0.2">
      <c r="A1526" s="34" t="str">
        <f>HYPERLINK("http://www.daganm.co.il/sku/CMP-SOUNDUSB12","CMP-SOUNDUSB12")</f>
        <v>CMP-SOUNDUSB12</v>
      </c>
      <c r="B1526" t="s">
        <v>6</v>
      </c>
      <c r="C1526" s="2" t="s">
        <v>1139</v>
      </c>
      <c r="D1526" s="32"/>
      <c r="E1526" s="35" t="s">
        <v>2740</v>
      </c>
    </row>
    <row r="1527" spans="1:5" x14ac:dyDescent="0.2">
      <c r="A1527" s="37" t="str">
        <f>HYPERLINK("http://www.daganm.co.il/sku/CMP-SOUNDUSB25","CMP-SOUNDUSB25")</f>
        <v>CMP-SOUNDUSB25</v>
      </c>
      <c r="B1527" t="s">
        <v>6</v>
      </c>
      <c r="C1527" s="2" t="s">
        <v>4152</v>
      </c>
      <c r="D1527" s="32">
        <v>45442</v>
      </c>
      <c r="E1527" s="35" t="s">
        <v>4283</v>
      </c>
    </row>
    <row r="1528" spans="1:5" x14ac:dyDescent="0.2">
      <c r="A1528" s="34" t="str">
        <f>HYPERLINK("http://www.daganm.co.il/sku/CABLE-133","CABLE-133")</f>
        <v>CABLE-133</v>
      </c>
      <c r="B1528" t="s">
        <v>6</v>
      </c>
      <c r="C1528" s="2" t="s">
        <v>1140</v>
      </c>
      <c r="D1528" s="32"/>
      <c r="E1528" s="35" t="s">
        <v>2741</v>
      </c>
    </row>
    <row r="1529" spans="1:5" x14ac:dyDescent="0.2">
      <c r="A1529" s="34" t="str">
        <f>HYPERLINK("http://www.daganm.co.il/sku/CMP-NWUSB21","CMP-NWUSB21")</f>
        <v>CMP-NWUSB21</v>
      </c>
      <c r="B1529" t="s">
        <v>6</v>
      </c>
      <c r="C1529" s="2" t="s">
        <v>1141</v>
      </c>
      <c r="D1529" s="32"/>
      <c r="E1529" s="35" t="s">
        <v>2742</v>
      </c>
    </row>
    <row r="1530" spans="1:5" x14ac:dyDescent="0.2">
      <c r="A1530" s="34" t="str">
        <f>HYPERLINK("http://www.daganm.co.il/sku/CMP-NWUSB23","CMP-NWUSB23")</f>
        <v>CMP-NWUSB23</v>
      </c>
      <c r="B1530" t="s">
        <v>6</v>
      </c>
      <c r="C1530" s="2" t="s">
        <v>1142</v>
      </c>
      <c r="D1530" s="32"/>
      <c r="E1530" s="35" t="s">
        <v>2743</v>
      </c>
    </row>
    <row r="1531" spans="1:5" x14ac:dyDescent="0.2">
      <c r="A1531" s="34" t="str">
        <f>HYPERLINK("http://www.daganm.co.il/sku/CMP-NWUSB24","CMP-NWUSB24")</f>
        <v>CMP-NWUSB24</v>
      </c>
      <c r="B1531" t="s">
        <v>6</v>
      </c>
      <c r="C1531" s="2" t="s">
        <v>3343</v>
      </c>
      <c r="D1531" s="32"/>
      <c r="E1531" s="35" t="s">
        <v>2744</v>
      </c>
    </row>
    <row r="1532" spans="1:5" x14ac:dyDescent="0.2">
      <c r="A1532" s="34" t="str">
        <f>HYPERLINK("http://www.daganm.co.il/sku/C31.51A2.5","C31.51A2.5")</f>
        <v>C31.51A2.5</v>
      </c>
      <c r="B1532" t="s">
        <v>6</v>
      </c>
      <c r="C1532" s="2" t="s">
        <v>1143</v>
      </c>
      <c r="D1532" s="32"/>
      <c r="E1532" s="32" t="s">
        <v>2745</v>
      </c>
    </row>
    <row r="1533" spans="1:5" x14ac:dyDescent="0.2">
      <c r="A1533" s="34" t="str">
        <f>HYPERLINK("http://www.daganm.co.il/sku/CMP-NWUSB35","CMP-NWUSB35")</f>
        <v>CMP-NWUSB35</v>
      </c>
      <c r="B1533" t="s">
        <v>6</v>
      </c>
      <c r="C1533" s="2" t="s">
        <v>1144</v>
      </c>
      <c r="D1533" s="36"/>
      <c r="E1533" s="35" t="s">
        <v>2746</v>
      </c>
    </row>
    <row r="1534" spans="1:5" x14ac:dyDescent="0.2">
      <c r="A1534" s="34" t="str">
        <f>HYPERLINK("http://www.daganm.co.il/sku/CMP-NWUSB26","CMP-NWUSB26")</f>
        <v>CMP-NWUSB26</v>
      </c>
      <c r="B1534" t="s">
        <v>6</v>
      </c>
      <c r="C1534" s="2" t="s">
        <v>1145</v>
      </c>
      <c r="D1534" s="32"/>
      <c r="E1534" s="35" t="s">
        <v>2747</v>
      </c>
    </row>
    <row r="1535" spans="1:5" x14ac:dyDescent="0.2">
      <c r="A1535" s="34" t="str">
        <f>HYPERLINK("http://www.daganm.co.il/sku/CMP-USBVGA10","CMP-USBVGA10")</f>
        <v>CMP-USBVGA10</v>
      </c>
      <c r="B1535" t="s">
        <v>6</v>
      </c>
      <c r="C1535" s="2" t="s">
        <v>1146</v>
      </c>
      <c r="D1535" s="32"/>
      <c r="E1535" s="35" t="s">
        <v>2748</v>
      </c>
    </row>
    <row r="1536" spans="1:5" x14ac:dyDescent="0.2">
      <c r="A1536" s="34" t="str">
        <f>HYPERLINK("http://www.daganm.co.il/sku/CMP-USBHD3","CMP-USBHD3")</f>
        <v>CMP-USBHD3</v>
      </c>
      <c r="B1536" t="s">
        <v>6</v>
      </c>
      <c r="C1536" s="2" t="s">
        <v>3876</v>
      </c>
      <c r="D1536" s="32"/>
      <c r="E1536" s="35" t="s">
        <v>4029</v>
      </c>
    </row>
    <row r="1537" spans="1:5" x14ac:dyDescent="0.2">
      <c r="A1537" s="34" t="str">
        <f>HYPERLINK("http://www.daganm.co.il/sku/CMP-USBHD4","CMP-USBHD4")</f>
        <v>CMP-USBHD4</v>
      </c>
      <c r="B1537" t="s">
        <v>6</v>
      </c>
      <c r="C1537" s="2" t="s">
        <v>3569</v>
      </c>
      <c r="D1537" s="32"/>
      <c r="E1537" s="35" t="s">
        <v>2749</v>
      </c>
    </row>
    <row r="1538" spans="1:5" x14ac:dyDescent="0.2">
      <c r="A1538" s="34" t="str">
        <f>HYPERLINK("http://www.daganm.co.il/sku/HDCNUSB7","HDCNUSB7")</f>
        <v>HDCNUSB7</v>
      </c>
      <c r="B1538" t="s">
        <v>6</v>
      </c>
      <c r="C1538" s="2" t="s">
        <v>1147</v>
      </c>
      <c r="D1538" s="32"/>
      <c r="E1538" s="35" t="s">
        <v>2750</v>
      </c>
    </row>
    <row r="1539" spans="1:5" x14ac:dyDescent="0.2">
      <c r="A1539" s="34" t="str">
        <f>HYPERLINK("http://www.daganm.co.il/sku/HDCNUSB7K","HDCNUSB7K")</f>
        <v>HDCNUSB7K</v>
      </c>
      <c r="B1539" t="s">
        <v>6</v>
      </c>
      <c r="C1539" s="2" t="s">
        <v>1148</v>
      </c>
      <c r="D1539" s="32"/>
      <c r="E1539" s="35" t="s">
        <v>2751</v>
      </c>
    </row>
    <row r="1540" spans="1:5" x14ac:dyDescent="0.2">
      <c r="A1540" s="37" t="str">
        <f>HYPERLINK("http://www.daganm.co.il/sku/HDCNUSB5","HDCNUSB5")</f>
        <v>HDCNUSB5</v>
      </c>
      <c r="B1540" t="s">
        <v>6</v>
      </c>
      <c r="C1540" s="2" t="s">
        <v>4153</v>
      </c>
      <c r="D1540" s="32">
        <v>45442</v>
      </c>
      <c r="E1540" s="32" t="s">
        <v>4284</v>
      </c>
    </row>
    <row r="1541" spans="1:5" x14ac:dyDescent="0.2">
      <c r="A1541" s="34" t="str">
        <f>HYPERLINK("http://www.daganm.co.il/sku/CBL450-1.8","CBL450-1.8")</f>
        <v>CBL450-1.8</v>
      </c>
      <c r="B1541" t="s">
        <v>6</v>
      </c>
      <c r="C1541" s="2" t="s">
        <v>1149</v>
      </c>
      <c r="D1541" s="36"/>
      <c r="E1541" s="35" t="s">
        <v>2752</v>
      </c>
    </row>
    <row r="1542" spans="1:5" x14ac:dyDescent="0.2">
      <c r="A1542" s="34" t="str">
        <f>HYPERLINK("http://www.daganm.co.il/sku/CBL451-1.8","CBL451-1.8")</f>
        <v>CBL451-1.8</v>
      </c>
      <c r="B1542" t="s">
        <v>6</v>
      </c>
      <c r="C1542" s="2" t="s">
        <v>1150</v>
      </c>
      <c r="D1542" s="32"/>
      <c r="E1542" s="35" t="s">
        <v>2753</v>
      </c>
    </row>
    <row r="1543" spans="1:5" x14ac:dyDescent="0.2">
      <c r="A1543" s="34" t="str">
        <f>HYPERLINK("http://www.daganm.co.il/sku/CBL452-1.8","CBL452-1.8")</f>
        <v>CBL452-1.8</v>
      </c>
      <c r="B1543" t="s">
        <v>6</v>
      </c>
      <c r="C1543" s="2" t="s">
        <v>1151</v>
      </c>
      <c r="D1543" s="36"/>
      <c r="E1543" s="35" t="s">
        <v>2754</v>
      </c>
    </row>
    <row r="1544" spans="1:5" x14ac:dyDescent="0.2">
      <c r="A1544" s="34" t="str">
        <f>HYPERLINK("http://www.daganm.co.il/sku/CMP-RFID1","CMP-RFID1")</f>
        <v>CMP-RFID1</v>
      </c>
      <c r="B1544" t="s">
        <v>6</v>
      </c>
      <c r="C1544" s="2" t="s">
        <v>3344</v>
      </c>
      <c r="D1544" s="32"/>
      <c r="E1544" s="35" t="s">
        <v>2755</v>
      </c>
    </row>
    <row r="1545" spans="1:5" x14ac:dyDescent="0.2">
      <c r="B1545"/>
      <c r="C1545" s="33" t="s">
        <v>58</v>
      </c>
      <c r="D1545" s="32"/>
      <c r="E1545" s="35"/>
    </row>
    <row r="1546" spans="1:5" x14ac:dyDescent="0.2">
      <c r="A1546" s="34" t="str">
        <f>HYPERLINK("http://www.daganm.co.il/sku/CABLE-491-1.8","CABLE-491-1.8")</f>
        <v>CABLE-491-1.8</v>
      </c>
      <c r="B1546" t="s">
        <v>6</v>
      </c>
      <c r="C1546" s="2" t="s">
        <v>3877</v>
      </c>
      <c r="D1546" s="32"/>
      <c r="E1546" s="35" t="s">
        <v>2756</v>
      </c>
    </row>
    <row r="1547" spans="1:5" x14ac:dyDescent="0.2">
      <c r="A1547" s="34" t="str">
        <f>HYPERLINK("http://www.daganm.co.il/sku/CABLE-492-1.8","CABLE-492-1.8")</f>
        <v>CABLE-492-1.8</v>
      </c>
      <c r="B1547" t="s">
        <v>6</v>
      </c>
      <c r="C1547" s="2" t="s">
        <v>1152</v>
      </c>
      <c r="D1547" s="32"/>
      <c r="E1547" s="35" t="s">
        <v>2757</v>
      </c>
    </row>
    <row r="1548" spans="1:5" x14ac:dyDescent="0.2">
      <c r="A1548" s="34" t="str">
        <f>HYPERLINK("http://www.daganm.co.il/sku/CABLE-490-1.8","CABLE-490-1.8")</f>
        <v>CABLE-490-1.8</v>
      </c>
      <c r="B1548" t="s">
        <v>6</v>
      </c>
      <c r="C1548" s="2" t="s">
        <v>1153</v>
      </c>
      <c r="D1548" s="32"/>
      <c r="E1548" s="35" t="s">
        <v>2758</v>
      </c>
    </row>
    <row r="1549" spans="1:5" x14ac:dyDescent="0.2">
      <c r="A1549" s="34" t="str">
        <f>HYPERLINK("http://www.daganm.co.il/sku/CABLE-495-3","CABLE-495-3")</f>
        <v>CABLE-495-3</v>
      </c>
      <c r="B1549" t="s">
        <v>6</v>
      </c>
      <c r="C1549" s="2" t="s">
        <v>1154</v>
      </c>
      <c r="D1549" s="32"/>
      <c r="E1549" s="35" t="s">
        <v>2759</v>
      </c>
    </row>
    <row r="1550" spans="1:5" x14ac:dyDescent="0.2">
      <c r="B1550"/>
      <c r="C1550" s="33" t="s">
        <v>1155</v>
      </c>
      <c r="D1550" s="32"/>
      <c r="E1550" s="35"/>
    </row>
    <row r="1551" spans="1:5" x14ac:dyDescent="0.2">
      <c r="A1551" s="34" t="str">
        <f>HYPERLINK("http://www.daganm.co.il/sku/CMP-USB2HUB17","CMP-USB2HUB17")</f>
        <v>CMP-USB2HUB17</v>
      </c>
      <c r="B1551" t="s">
        <v>6</v>
      </c>
      <c r="C1551" s="2" t="s">
        <v>1156</v>
      </c>
      <c r="D1551" s="32"/>
      <c r="E1551" s="35" t="s">
        <v>2760</v>
      </c>
    </row>
    <row r="1552" spans="1:5" x14ac:dyDescent="0.2">
      <c r="A1552" s="34" t="str">
        <f>HYPERLINK("http://www.daganm.co.il/sku/CMP-USB3HUB1","CMP-USB3HUB1")</f>
        <v>CMP-USB3HUB1</v>
      </c>
      <c r="B1552" t="s">
        <v>6</v>
      </c>
      <c r="C1552" s="2" t="s">
        <v>3570</v>
      </c>
      <c r="D1552" s="32"/>
      <c r="E1552" s="32" t="s">
        <v>2761</v>
      </c>
    </row>
    <row r="1553" spans="1:5" x14ac:dyDescent="0.2">
      <c r="A1553" s="34" t="str">
        <f>HYPERLINK("http://www.daganm.co.il/sku/CMP-USB3HUB2","CMP-USB3HUB2")</f>
        <v>CMP-USB3HUB2</v>
      </c>
      <c r="B1553" t="s">
        <v>6</v>
      </c>
      <c r="C1553" s="2" t="s">
        <v>4154</v>
      </c>
      <c r="D1553" s="32"/>
      <c r="E1553" s="32" t="s">
        <v>4030</v>
      </c>
    </row>
    <row r="1554" spans="1:5" x14ac:dyDescent="0.2">
      <c r="A1554" s="34" t="str">
        <f>HYPERLINK("http://www.daganm.co.il/sku/CMP-USB3HUB4","CMP-USB3HUB4")</f>
        <v>CMP-USB3HUB4</v>
      </c>
      <c r="B1554" t="s">
        <v>6</v>
      </c>
      <c r="C1554" s="2" t="s">
        <v>3571</v>
      </c>
      <c r="D1554" s="32"/>
      <c r="E1554" s="35" t="s">
        <v>2762</v>
      </c>
    </row>
    <row r="1555" spans="1:5" x14ac:dyDescent="0.2">
      <c r="A1555" s="34" t="str">
        <f>HYPERLINK("http://www.daganm.co.il/sku/CMP-USB3HUB5","CMP-USB3HUB5")</f>
        <v>CMP-USB3HUB5</v>
      </c>
      <c r="B1555" t="s">
        <v>6</v>
      </c>
      <c r="C1555" s="2" t="s">
        <v>3572</v>
      </c>
      <c r="D1555" s="32"/>
      <c r="E1555" s="35" t="s">
        <v>2763</v>
      </c>
    </row>
    <row r="1556" spans="1:5" x14ac:dyDescent="0.2">
      <c r="A1556" s="34" t="str">
        <f>HYPERLINK("http://www.daganm.co.il/sku/CMP-USB3HUB6","CMP-USB3HUB6")</f>
        <v>CMP-USB3HUB6</v>
      </c>
      <c r="B1556" t="s">
        <v>6</v>
      </c>
      <c r="C1556" s="2" t="s">
        <v>3573</v>
      </c>
      <c r="D1556" s="32"/>
      <c r="E1556" s="35" t="s">
        <v>3485</v>
      </c>
    </row>
    <row r="1557" spans="1:5" x14ac:dyDescent="0.2">
      <c r="A1557" s="34" t="str">
        <f>HYPERLINK("http://www.daganm.co.il/sku/CMP-USB3HUB4C","CMP-USB3HUB4C")</f>
        <v>CMP-USB3HUB4C</v>
      </c>
      <c r="B1557" t="s">
        <v>6</v>
      </c>
      <c r="C1557" s="2" t="s">
        <v>3345</v>
      </c>
      <c r="D1557" s="32"/>
      <c r="E1557" s="35" t="s">
        <v>2764</v>
      </c>
    </row>
    <row r="1558" spans="1:5" x14ac:dyDescent="0.2">
      <c r="A1558" s="34" t="str">
        <f>HYPERLINK("http://www.daganm.co.il/sku/USB3HUB50-5","USB3HUB50-5")</f>
        <v>USB3HUB50-5</v>
      </c>
      <c r="B1558" t="s">
        <v>6</v>
      </c>
      <c r="C1558" s="2" t="s">
        <v>3346</v>
      </c>
      <c r="D1558" s="32"/>
      <c r="E1558" s="35" t="s">
        <v>3486</v>
      </c>
    </row>
    <row r="1559" spans="1:5" x14ac:dyDescent="0.2">
      <c r="A1559" s="34" t="str">
        <f>HYPERLINK("http://www.daganm.co.il/sku/USB3HUB50-7","USB3HUB50-7")</f>
        <v>USB3HUB50-7</v>
      </c>
      <c r="B1559" t="s">
        <v>6</v>
      </c>
      <c r="C1559" s="2" t="s">
        <v>3347</v>
      </c>
      <c r="D1559" s="32"/>
      <c r="E1559" s="35" t="s">
        <v>3487</v>
      </c>
    </row>
    <row r="1560" spans="1:5" x14ac:dyDescent="0.2">
      <c r="A1560" s="34" t="str">
        <f>HYPERLINK("http://www.daganm.co.il/sku/USB3HUB50-10","USB3HUB50-10")</f>
        <v>USB3HUB50-10</v>
      </c>
      <c r="B1560" t="s">
        <v>6</v>
      </c>
      <c r="C1560" s="2" t="s">
        <v>3348</v>
      </c>
      <c r="D1560" s="36"/>
      <c r="E1560" s="35" t="s">
        <v>3488</v>
      </c>
    </row>
    <row r="1561" spans="1:5" x14ac:dyDescent="0.2">
      <c r="B1561"/>
      <c r="C1561" s="33" t="s">
        <v>59</v>
      </c>
      <c r="D1561" s="32"/>
      <c r="E1561" s="35"/>
    </row>
    <row r="1562" spans="1:5" x14ac:dyDescent="0.2">
      <c r="A1562" s="34" t="str">
        <f>HYPERLINK("http://www.daganm.co.il/sku/CMP-USBADAP4","CMP-USBADAP4")</f>
        <v>CMP-USBADAP4</v>
      </c>
      <c r="B1562" t="s">
        <v>6</v>
      </c>
      <c r="C1562" s="2" t="s">
        <v>1157</v>
      </c>
      <c r="D1562" s="32"/>
      <c r="E1562" s="35" t="s">
        <v>2766</v>
      </c>
    </row>
    <row r="1563" spans="1:5" x14ac:dyDescent="0.2">
      <c r="A1563" s="34" t="str">
        <f>HYPERLINK("http://www.daganm.co.il/sku/CMP-USBADAP6","CMP-USBADAP6")</f>
        <v>CMP-USBADAP6</v>
      </c>
      <c r="B1563" t="s">
        <v>6</v>
      </c>
      <c r="C1563" s="2" t="s">
        <v>1158</v>
      </c>
      <c r="D1563" s="32"/>
      <c r="E1563" s="35" t="s">
        <v>2767</v>
      </c>
    </row>
    <row r="1564" spans="1:5" x14ac:dyDescent="0.2">
      <c r="A1564" s="34" t="str">
        <f>HYPERLINK("http://www.daganm.co.il/sku/CMP-USBADAP7","CMP-USBADAP7")</f>
        <v>CMP-USBADAP7</v>
      </c>
      <c r="B1564" t="s">
        <v>6</v>
      </c>
      <c r="C1564" s="2" t="s">
        <v>1159</v>
      </c>
      <c r="D1564" s="32"/>
      <c r="E1564" s="35" t="s">
        <v>2768</v>
      </c>
    </row>
    <row r="1565" spans="1:5" x14ac:dyDescent="0.2">
      <c r="A1565" s="37" t="str">
        <f>HYPERLINK("http://www.daganm.co.il/sku/CMP-USBADAP8","CMP-USBADAP8")</f>
        <v>CMP-USBADAP8</v>
      </c>
      <c r="B1565" t="s">
        <v>6</v>
      </c>
      <c r="C1565" s="2" t="s">
        <v>4155</v>
      </c>
      <c r="D1565" s="32">
        <v>45442</v>
      </c>
      <c r="E1565" s="35" t="s">
        <v>4285</v>
      </c>
    </row>
    <row r="1566" spans="1:5" x14ac:dyDescent="0.2">
      <c r="A1566" s="34" t="str">
        <f>HYPERLINK("http://www.daganm.co.il/sku/CMP-USBADAP10","CMP-USBADAP10")</f>
        <v>CMP-USBADAP10</v>
      </c>
      <c r="B1566" t="s">
        <v>6</v>
      </c>
      <c r="C1566" s="2" t="s">
        <v>1160</v>
      </c>
      <c r="D1566" s="32"/>
      <c r="E1566" s="35" t="s">
        <v>2769</v>
      </c>
    </row>
    <row r="1567" spans="1:5" x14ac:dyDescent="0.2">
      <c r="A1567" s="34" t="str">
        <f>HYPERLINK("http://www.daganm.co.il/sku/CMP-USBADAP3","CMP-USBADAP3")</f>
        <v>CMP-USBADAP3</v>
      </c>
      <c r="B1567" t="s">
        <v>6</v>
      </c>
      <c r="C1567" s="2" t="s">
        <v>1161</v>
      </c>
      <c r="D1567" s="32"/>
      <c r="E1567" s="35" t="s">
        <v>2770</v>
      </c>
    </row>
    <row r="1568" spans="1:5" x14ac:dyDescent="0.2">
      <c r="A1568" s="34" t="str">
        <f>HYPERLINK("http://www.daganm.co.il/sku/CMP-USBADAP31","CMP-USBADAP31")</f>
        <v>CMP-USBADAP31</v>
      </c>
      <c r="B1568" t="s">
        <v>6</v>
      </c>
      <c r="C1568" s="2" t="s">
        <v>1162</v>
      </c>
      <c r="D1568" s="32"/>
      <c r="E1568" s="32" t="s">
        <v>2771</v>
      </c>
    </row>
    <row r="1569" spans="1:5" x14ac:dyDescent="0.2">
      <c r="A1569" s="34" t="str">
        <f>HYPERLINK("http://www.daganm.co.il/sku/CMP-USBADAP5","CMP-USBADAP5")</f>
        <v>CMP-USBADAP5</v>
      </c>
      <c r="B1569" t="s">
        <v>6</v>
      </c>
      <c r="C1569" s="2" t="s">
        <v>1163</v>
      </c>
      <c r="D1569" s="32"/>
      <c r="E1569" s="35" t="s">
        <v>2772</v>
      </c>
    </row>
    <row r="1570" spans="1:5" x14ac:dyDescent="0.2">
      <c r="B1570"/>
      <c r="C1570" s="33" t="s">
        <v>60</v>
      </c>
      <c r="D1570" s="32"/>
      <c r="E1570" s="35"/>
    </row>
    <row r="1571" spans="1:5" x14ac:dyDescent="0.2">
      <c r="A1571" s="34" t="str">
        <f>HYPERLINK("http://www.daganm.co.il/sku/LIGHTN10-1","LIGHTN10-1")</f>
        <v>LIGHTN10-1</v>
      </c>
      <c r="B1571" t="s">
        <v>6</v>
      </c>
      <c r="C1571" s="2" t="s">
        <v>1164</v>
      </c>
      <c r="D1571" s="32"/>
      <c r="E1571" s="35" t="s">
        <v>2773</v>
      </c>
    </row>
    <row r="1572" spans="1:5" x14ac:dyDescent="0.2">
      <c r="A1572" s="34" t="str">
        <f>HYPERLINK("http://www.daganm.co.il/sku/LIGHTN10-1.8","LIGHTN10-1.8")</f>
        <v>LIGHTN10-1.8</v>
      </c>
      <c r="B1572" t="s">
        <v>6</v>
      </c>
      <c r="C1572" s="2" t="s">
        <v>3574</v>
      </c>
      <c r="D1572" s="32"/>
      <c r="E1572" s="35" t="s">
        <v>3663</v>
      </c>
    </row>
    <row r="1573" spans="1:5" x14ac:dyDescent="0.2">
      <c r="A1573" s="34" t="str">
        <f>HYPERLINK("http://www.daganm.co.il/sku/LIGHTN27-1","LIGHTN27-1")</f>
        <v>LIGHTN27-1</v>
      </c>
      <c r="B1573" t="s">
        <v>6</v>
      </c>
      <c r="C1573" s="2" t="s">
        <v>3878</v>
      </c>
      <c r="D1573" s="32"/>
      <c r="E1573" s="35" t="s">
        <v>4031</v>
      </c>
    </row>
    <row r="1574" spans="1:5" x14ac:dyDescent="0.2">
      <c r="A1574" s="34" t="str">
        <f>HYPERLINK("http://www.daganm.co.il/sku/IPD-CABLE4","IPD-CABLE4")</f>
        <v>IPD-CABLE4</v>
      </c>
      <c r="B1574" t="s">
        <v>6</v>
      </c>
      <c r="C1574" s="2" t="s">
        <v>1165</v>
      </c>
      <c r="D1574" s="32"/>
      <c r="E1574" s="35" t="s">
        <v>2774</v>
      </c>
    </row>
    <row r="1575" spans="1:5" x14ac:dyDescent="0.2">
      <c r="A1575" s="34" t="str">
        <f>HYPERLINK("http://www.daganm.co.il/sku/GTAB-CABLE10","GTAB-CABLE10")</f>
        <v>GTAB-CABLE10</v>
      </c>
      <c r="B1575" t="s">
        <v>6</v>
      </c>
      <c r="C1575" s="2" t="s">
        <v>1166</v>
      </c>
      <c r="D1575" s="32"/>
      <c r="E1575" s="35" t="s">
        <v>2775</v>
      </c>
    </row>
    <row r="1576" spans="1:5" x14ac:dyDescent="0.2">
      <c r="A1576" s="34" t="str">
        <f>HYPERLINK("http://www.daganm.co.il/sku/GTAB-CABLE10/2","GTAB-CABLE10/2")</f>
        <v>GTAB-CABLE10/2</v>
      </c>
      <c r="B1576" t="s">
        <v>6</v>
      </c>
      <c r="C1576" s="2" t="s">
        <v>1167</v>
      </c>
      <c r="D1576" s="32"/>
      <c r="E1576" s="35" t="s">
        <v>2776</v>
      </c>
    </row>
    <row r="1577" spans="1:5" x14ac:dyDescent="0.2">
      <c r="A1577" s="34" t="str">
        <f>HYPERLINK("http://www.daganm.co.il/sku/GTAB-CABLE3","GTAB-CABLE3")</f>
        <v>GTAB-CABLE3</v>
      </c>
      <c r="B1577" t="s">
        <v>6</v>
      </c>
      <c r="C1577" s="2" t="s">
        <v>1168</v>
      </c>
      <c r="D1577" s="32"/>
      <c r="E1577" s="35" t="s">
        <v>2777</v>
      </c>
    </row>
    <row r="1578" spans="1:5" x14ac:dyDescent="0.2">
      <c r="A1578" s="34" t="str">
        <f>HYPERLINK("http://www.daganm.co.il/sku/CABLE-ASUS1","CABLE-ASUS1")</f>
        <v>CABLE-ASUS1</v>
      </c>
      <c r="B1578" t="s">
        <v>6</v>
      </c>
      <c r="C1578" s="2" t="s">
        <v>1169</v>
      </c>
      <c r="D1578" s="32"/>
      <c r="E1578" s="35" t="s">
        <v>2778</v>
      </c>
    </row>
    <row r="1579" spans="1:5" x14ac:dyDescent="0.2">
      <c r="A1579" s="34" t="str">
        <f>HYPERLINK("http://www.daganm.co.il/sku/CABLE-1122","CABLE-1122")</f>
        <v>CABLE-1122</v>
      </c>
      <c r="B1579" t="s">
        <v>6</v>
      </c>
      <c r="C1579" s="2" t="s">
        <v>1170</v>
      </c>
      <c r="D1579" s="32"/>
      <c r="E1579" s="35" t="s">
        <v>2779</v>
      </c>
    </row>
    <row r="1580" spans="1:5" x14ac:dyDescent="0.2">
      <c r="A1580" s="34" t="str">
        <f>HYPERLINK("http://www.daganm.co.il/sku/CABLE-1123","CABLE-1123")</f>
        <v>CABLE-1123</v>
      </c>
      <c r="B1580" t="s">
        <v>6</v>
      </c>
      <c r="C1580" s="2" t="s">
        <v>1171</v>
      </c>
      <c r="D1580" s="32"/>
      <c r="E1580" s="35" t="s">
        <v>2780</v>
      </c>
    </row>
    <row r="1581" spans="1:5" x14ac:dyDescent="0.2">
      <c r="A1581" s="34" t="str">
        <f>HYPERLINK("http://www.daganm.co.il/sku/CABLE-1126","CABLE-1126")</f>
        <v>CABLE-1126</v>
      </c>
      <c r="B1581" t="s">
        <v>6</v>
      </c>
      <c r="C1581" s="2" t="s">
        <v>1172</v>
      </c>
      <c r="D1581" s="32"/>
      <c r="E1581" s="35" t="s">
        <v>2781</v>
      </c>
    </row>
    <row r="1582" spans="1:5" ht="16.5" x14ac:dyDescent="0.25">
      <c r="B1582"/>
      <c r="C1582" s="31" t="s">
        <v>61</v>
      </c>
      <c r="D1582" s="32"/>
      <c r="E1582" s="35"/>
    </row>
    <row r="1583" spans="1:5" x14ac:dyDescent="0.2">
      <c r="B1583"/>
      <c r="C1583" s="33" t="s">
        <v>62</v>
      </c>
      <c r="D1583" s="32"/>
      <c r="E1583" s="35"/>
    </row>
    <row r="1584" spans="1:5" x14ac:dyDescent="0.2">
      <c r="A1584" s="34" t="str">
        <f>HYPERLINK("http://www.daganm.co.il/sku/CABLE-155/1.8","CABLE-155/1.8")</f>
        <v>CABLE-155/1.8</v>
      </c>
      <c r="B1584" t="s">
        <v>6</v>
      </c>
      <c r="C1584" s="2" t="s">
        <v>1173</v>
      </c>
      <c r="D1584" s="32"/>
      <c r="E1584" s="32" t="s">
        <v>2782</v>
      </c>
    </row>
    <row r="1585" spans="1:5" x14ac:dyDescent="0.2">
      <c r="A1585" s="34" t="str">
        <f>HYPERLINK("http://www.daganm.co.il/sku/CABLE-151","CABLE-151")</f>
        <v>CABLE-151</v>
      </c>
      <c r="B1585" t="s">
        <v>6</v>
      </c>
      <c r="C1585" s="2" t="s">
        <v>1174</v>
      </c>
      <c r="D1585" s="32"/>
      <c r="E1585" s="35" t="s">
        <v>2783</v>
      </c>
    </row>
    <row r="1586" spans="1:5" x14ac:dyDescent="0.2">
      <c r="A1586" s="34" t="str">
        <f>HYPERLINK("http://www.daganm.co.il/sku/CABLE-151/3","CABLE-151/3")</f>
        <v>CABLE-151/3</v>
      </c>
      <c r="B1586" t="s">
        <v>6</v>
      </c>
      <c r="C1586" s="2" t="s">
        <v>1175</v>
      </c>
      <c r="D1586" s="32"/>
      <c r="E1586" s="35" t="s">
        <v>2784</v>
      </c>
    </row>
    <row r="1587" spans="1:5" x14ac:dyDescent="0.2">
      <c r="A1587" s="34" t="str">
        <f>HYPERLINK("http://www.daganm.co.il/sku/CABLE-151/5","CABLE-151/5")</f>
        <v>CABLE-151/5</v>
      </c>
      <c r="B1587" t="s">
        <v>6</v>
      </c>
      <c r="C1587" s="2" t="s">
        <v>1176</v>
      </c>
      <c r="D1587" s="32"/>
      <c r="E1587" s="35" t="s">
        <v>2785</v>
      </c>
    </row>
    <row r="1588" spans="1:5" x14ac:dyDescent="0.2">
      <c r="A1588" s="34" t="str">
        <f>HYPERLINK("http://www.daganm.co.il/sku/CABLE-151/10","CABLE-151/10")</f>
        <v>CABLE-151/10</v>
      </c>
      <c r="B1588" t="s">
        <v>6</v>
      </c>
      <c r="C1588" s="2" t="s">
        <v>1177</v>
      </c>
      <c r="D1588" s="32"/>
      <c r="E1588" s="35" t="s">
        <v>2786</v>
      </c>
    </row>
    <row r="1589" spans="1:5" x14ac:dyDescent="0.2">
      <c r="A1589" s="34" t="str">
        <f>HYPERLINK("http://www.daganm.co.il/sku/CABLE-151/15","CABLE-151/15")</f>
        <v>CABLE-151/15</v>
      </c>
      <c r="B1589" t="s">
        <v>6</v>
      </c>
      <c r="C1589" s="2" t="s">
        <v>1178</v>
      </c>
      <c r="D1589" s="32"/>
      <c r="E1589" s="35" t="s">
        <v>2787</v>
      </c>
    </row>
    <row r="1590" spans="1:5" x14ac:dyDescent="0.2">
      <c r="A1590" s="34" t="str">
        <f>HYPERLINK("http://www.daganm.co.il/sku/CABLE-151/20","CABLE-151/20")</f>
        <v>CABLE-151/20</v>
      </c>
      <c r="B1590" t="s">
        <v>6</v>
      </c>
      <c r="C1590" s="2" t="s">
        <v>1179</v>
      </c>
      <c r="D1590" s="32"/>
      <c r="E1590" s="35" t="s">
        <v>2788</v>
      </c>
    </row>
    <row r="1591" spans="1:5" x14ac:dyDescent="0.2">
      <c r="A1591" s="34" t="str">
        <f>HYPERLINK("http://www.daganm.co.il/sku/CABLE-123","CABLE-123")</f>
        <v>CABLE-123</v>
      </c>
      <c r="B1591" t="s">
        <v>6</v>
      </c>
      <c r="C1591" s="2" t="s">
        <v>1180</v>
      </c>
      <c r="D1591" s="32"/>
      <c r="E1591" s="35" t="s">
        <v>2789</v>
      </c>
    </row>
    <row r="1592" spans="1:5" x14ac:dyDescent="0.2">
      <c r="A1592" s="34" t="str">
        <f>HYPERLINK("http://www.daganm.co.il/sku/CABLE-124","CABLE-124")</f>
        <v>CABLE-124</v>
      </c>
      <c r="B1592" t="s">
        <v>6</v>
      </c>
      <c r="C1592" s="2" t="s">
        <v>1181</v>
      </c>
      <c r="D1592" s="32"/>
      <c r="E1592" s="35" t="s">
        <v>2790</v>
      </c>
    </row>
    <row r="1593" spans="1:5" x14ac:dyDescent="0.2">
      <c r="A1593" s="34" t="str">
        <f>HYPERLINK("http://www.daganm.co.il/sku/CABLE-138D","CABLE-138D")</f>
        <v>CABLE-138D</v>
      </c>
      <c r="B1593" t="s">
        <v>6</v>
      </c>
      <c r="C1593" s="2" t="s">
        <v>1182</v>
      </c>
      <c r="D1593" s="32"/>
      <c r="E1593" s="35" t="s">
        <v>2791</v>
      </c>
    </row>
    <row r="1594" spans="1:5" x14ac:dyDescent="0.2">
      <c r="A1594" s="34" t="str">
        <f>HYPERLINK("http://www.daganm.co.il/sku/CABLE-138D/3","CABLE-138D/3")</f>
        <v>CABLE-138D/3</v>
      </c>
      <c r="B1594" t="s">
        <v>6</v>
      </c>
      <c r="C1594" s="2" t="s">
        <v>1183</v>
      </c>
      <c r="D1594" s="32"/>
      <c r="E1594" s="35" t="s">
        <v>2792</v>
      </c>
    </row>
    <row r="1595" spans="1:5" x14ac:dyDescent="0.2">
      <c r="A1595" s="34" t="str">
        <f>HYPERLINK("http://www.daganm.co.il/sku/CBL156FMM","CBL156FMM")</f>
        <v>CBL156FMM</v>
      </c>
      <c r="B1595" t="s">
        <v>6</v>
      </c>
      <c r="C1595" s="2" t="s">
        <v>1184</v>
      </c>
      <c r="D1595" s="32"/>
      <c r="E1595" s="35" t="s">
        <v>2793</v>
      </c>
    </row>
    <row r="1596" spans="1:5" x14ac:dyDescent="0.2">
      <c r="A1596" s="34" t="str">
        <f>HYPERLINK("http://www.daganm.co.il/sku/CBL156MFF","CBL156MFF")</f>
        <v>CBL156MFF</v>
      </c>
      <c r="B1596" t="s">
        <v>6</v>
      </c>
      <c r="C1596" s="2" t="s">
        <v>1185</v>
      </c>
      <c r="D1596" s="32"/>
      <c r="E1596" s="32" t="s">
        <v>2794</v>
      </c>
    </row>
    <row r="1597" spans="1:5" x14ac:dyDescent="0.2">
      <c r="A1597" s="34" t="str">
        <f>HYPERLINK("http://www.daganm.co.il/sku/CABLE-150","CABLE-150")</f>
        <v>CABLE-150</v>
      </c>
      <c r="B1597" t="s">
        <v>6</v>
      </c>
      <c r="C1597" s="2" t="s">
        <v>1186</v>
      </c>
      <c r="D1597" s="32"/>
      <c r="E1597" s="32" t="s">
        <v>2795</v>
      </c>
    </row>
    <row r="1598" spans="1:5" x14ac:dyDescent="0.2">
      <c r="B1598"/>
      <c r="C1598" s="33" t="s">
        <v>63</v>
      </c>
      <c r="D1598" s="32"/>
      <c r="E1598" s="35"/>
    </row>
    <row r="1599" spans="1:5" x14ac:dyDescent="0.2">
      <c r="A1599" s="34" t="str">
        <f>HYPERLINK("http://www.daganm.co.il/sku/CABLE-234LC-0.5","CABLE-234LC-0.5")</f>
        <v>CABLE-234LC-0.5</v>
      </c>
      <c r="B1599" t="s">
        <v>6</v>
      </c>
      <c r="C1599" s="2" t="s">
        <v>1187</v>
      </c>
      <c r="D1599" s="32"/>
      <c r="E1599" s="35" t="s">
        <v>2796</v>
      </c>
    </row>
    <row r="1600" spans="1:5" x14ac:dyDescent="0.2">
      <c r="A1600" s="34" t="str">
        <f>HYPERLINK("http://www.daganm.co.il/sku/CABLE-234L-1","CABLE-234L-1")</f>
        <v>CABLE-234L-1</v>
      </c>
      <c r="B1600" t="s">
        <v>6</v>
      </c>
      <c r="C1600" s="2" t="s">
        <v>1188</v>
      </c>
      <c r="D1600" s="32"/>
      <c r="E1600" s="35" t="s">
        <v>2797</v>
      </c>
    </row>
    <row r="1601" spans="1:5" x14ac:dyDescent="0.2">
      <c r="A1601" s="34" t="str">
        <f>HYPERLINK("http://www.daganm.co.il/sku/CABLE-234LA-0.5","CABLE-234LA-0.5")</f>
        <v>CABLE-234LA-0.5</v>
      </c>
      <c r="B1601" t="s">
        <v>6</v>
      </c>
      <c r="C1601" s="2" t="s">
        <v>1189</v>
      </c>
      <c r="D1601" s="32"/>
      <c r="E1601" s="35" t="s">
        <v>2798</v>
      </c>
    </row>
    <row r="1602" spans="1:5" x14ac:dyDescent="0.2">
      <c r="A1602" s="34" t="str">
        <f>HYPERLINK("http://www.daganm.co.il/sku/CABLE-234LA-1","CABLE-234LA-1")</f>
        <v>CABLE-234LA-1</v>
      </c>
      <c r="B1602" t="s">
        <v>6</v>
      </c>
      <c r="C1602" s="2" t="s">
        <v>1190</v>
      </c>
      <c r="D1602" s="32"/>
      <c r="E1602" s="35" t="s">
        <v>2799</v>
      </c>
    </row>
    <row r="1603" spans="1:5" x14ac:dyDescent="0.2">
      <c r="A1603" s="34" t="str">
        <f>HYPERLINK("http://www.daganm.co.il/sku/CABLE-239-0.5","CABLE-239-0.5")</f>
        <v>CABLE-239-0.5</v>
      </c>
      <c r="B1603" t="s">
        <v>6</v>
      </c>
      <c r="C1603" s="2" t="s">
        <v>1191</v>
      </c>
      <c r="D1603" s="32"/>
      <c r="E1603" s="35" t="s">
        <v>2800</v>
      </c>
    </row>
    <row r="1604" spans="1:5" x14ac:dyDescent="0.2">
      <c r="A1604" s="34" t="str">
        <f>HYPERLINK("http://www.daganm.co.il/sku/CABLE-239-1","CABLE-239-1")</f>
        <v>CABLE-239-1</v>
      </c>
      <c r="B1604" t="s">
        <v>6</v>
      </c>
      <c r="C1604" s="2" t="s">
        <v>1192</v>
      </c>
      <c r="D1604" s="32"/>
      <c r="E1604" s="35" t="s">
        <v>2801</v>
      </c>
    </row>
    <row r="1605" spans="1:5" x14ac:dyDescent="0.2">
      <c r="A1605" s="34" t="str">
        <f>HYPERLINK("http://www.daganm.co.il/sku/CABLE-239LA-0.5","CABLE-239LA-0.5")</f>
        <v>CABLE-239LA-0.5</v>
      </c>
      <c r="B1605" t="s">
        <v>6</v>
      </c>
      <c r="C1605" s="2" t="s">
        <v>1193</v>
      </c>
      <c r="D1605" s="32"/>
      <c r="E1605" s="35" t="s">
        <v>2802</v>
      </c>
    </row>
    <row r="1606" spans="1:5" x14ac:dyDescent="0.2">
      <c r="A1606" s="34" t="str">
        <f>HYPERLINK("http://www.daganm.co.il/sku/CABLE-253","CABLE-253")</f>
        <v>CABLE-253</v>
      </c>
      <c r="B1606" t="s">
        <v>6</v>
      </c>
      <c r="C1606" s="2" t="s">
        <v>1194</v>
      </c>
      <c r="D1606" s="32"/>
      <c r="E1606" s="35" t="s">
        <v>2803</v>
      </c>
    </row>
    <row r="1607" spans="1:5" x14ac:dyDescent="0.2">
      <c r="A1607" s="34" t="str">
        <f>HYPERLINK("http://www.daganm.co.il/sku/CABLE-259","CABLE-259")</f>
        <v>CABLE-259</v>
      </c>
      <c r="B1607" t="s">
        <v>6</v>
      </c>
      <c r="C1607" s="2" t="s">
        <v>1195</v>
      </c>
      <c r="D1607" s="32"/>
      <c r="E1607" s="35" t="s">
        <v>2804</v>
      </c>
    </row>
    <row r="1608" spans="1:5" x14ac:dyDescent="0.2">
      <c r="A1608" s="34" t="str">
        <f>HYPERLINK("http://www.daganm.co.il/sku/CABLE-267","CABLE-267")</f>
        <v>CABLE-267</v>
      </c>
      <c r="B1608" t="s">
        <v>6</v>
      </c>
      <c r="C1608" s="2" t="s">
        <v>1196</v>
      </c>
      <c r="D1608" s="32"/>
      <c r="E1608" s="35" t="s">
        <v>2805</v>
      </c>
    </row>
    <row r="1609" spans="1:5" x14ac:dyDescent="0.2">
      <c r="A1609" s="34" t="str">
        <f>HYPERLINK("http://www.daganm.co.il/sku/CABLE-277","CABLE-277")</f>
        <v>CABLE-277</v>
      </c>
      <c r="B1609" t="s">
        <v>6</v>
      </c>
      <c r="C1609" s="2" t="s">
        <v>1197</v>
      </c>
      <c r="D1609" s="32"/>
      <c r="E1609" s="35" t="s">
        <v>2806</v>
      </c>
    </row>
    <row r="1610" spans="1:5" x14ac:dyDescent="0.2">
      <c r="A1610" s="34" t="str">
        <f>HYPERLINK("http://www.daganm.co.il/sku/CABLE-23SL","CABLE-23SL")</f>
        <v>CABLE-23SL</v>
      </c>
      <c r="B1610" t="s">
        <v>6</v>
      </c>
      <c r="C1610" s="2" t="s">
        <v>1198</v>
      </c>
      <c r="D1610" s="32"/>
      <c r="E1610" s="35" t="s">
        <v>2807</v>
      </c>
    </row>
    <row r="1611" spans="1:5" x14ac:dyDescent="0.2">
      <c r="A1611" s="34" t="str">
        <f>HYPERLINK("http://www.daganm.co.il/sku/CMP-CI005","CMP-CI005")</f>
        <v>CMP-CI005</v>
      </c>
      <c r="B1611" t="s">
        <v>6</v>
      </c>
      <c r="C1611" s="2" t="s">
        <v>1199</v>
      </c>
      <c r="D1611" s="32"/>
      <c r="E1611" s="35" t="s">
        <v>2808</v>
      </c>
    </row>
    <row r="1612" spans="1:5" x14ac:dyDescent="0.2">
      <c r="A1612" s="34" t="str">
        <f>HYPERLINK("http://www.daganm.co.il/sku/CABLE-235D","CABLE-235D")</f>
        <v>CABLE-235D</v>
      </c>
      <c r="B1612" t="s">
        <v>6</v>
      </c>
      <c r="C1612" s="2" t="s">
        <v>1200</v>
      </c>
      <c r="D1612" s="32"/>
      <c r="E1612" s="35" t="s">
        <v>2809</v>
      </c>
    </row>
    <row r="1613" spans="1:5" ht="16.5" x14ac:dyDescent="0.25">
      <c r="B1613"/>
      <c r="C1613" s="31" t="s">
        <v>64</v>
      </c>
      <c r="D1613" s="32"/>
      <c r="E1613" s="35"/>
    </row>
    <row r="1614" spans="1:5" x14ac:dyDescent="0.2">
      <c r="B1614"/>
      <c r="C1614" s="33" t="s">
        <v>65</v>
      </c>
      <c r="D1614" s="32"/>
      <c r="E1614" s="35"/>
    </row>
    <row r="1615" spans="1:5" x14ac:dyDescent="0.2">
      <c r="A1615" s="34" t="str">
        <f>HYPERLINK("http://www.daganm.co.il/sku/CABLE-703/0.5","CABLE-703/0.5")</f>
        <v>CABLE-703/0.5</v>
      </c>
      <c r="B1615" t="s">
        <v>6</v>
      </c>
      <c r="C1615" s="2" t="s">
        <v>1202</v>
      </c>
      <c r="D1615" s="32"/>
      <c r="E1615" s="35" t="s">
        <v>2811</v>
      </c>
    </row>
    <row r="1616" spans="1:5" x14ac:dyDescent="0.2">
      <c r="A1616" s="34" t="str">
        <f>HYPERLINK("http://www.daganm.co.il/sku/CABLE-703/0.7","CABLE-703/0.7")</f>
        <v>CABLE-703/0.7</v>
      </c>
      <c r="B1616" t="s">
        <v>6</v>
      </c>
      <c r="C1616" s="2" t="s">
        <v>3879</v>
      </c>
      <c r="D1616" s="32"/>
      <c r="E1616" s="35" t="s">
        <v>4032</v>
      </c>
    </row>
    <row r="1617" spans="1:5" x14ac:dyDescent="0.2">
      <c r="A1617" s="34" t="str">
        <f>HYPERLINK("http://www.daganm.co.il/sku/CABLE-703/1","CABLE-703/1")</f>
        <v>CABLE-703/1</v>
      </c>
      <c r="B1617" t="s">
        <v>6</v>
      </c>
      <c r="C1617" s="2" t="s">
        <v>1203</v>
      </c>
      <c r="D1617" s="32"/>
      <c r="E1617" s="35" t="s">
        <v>2812</v>
      </c>
    </row>
    <row r="1618" spans="1:5" x14ac:dyDescent="0.2">
      <c r="A1618" s="34" t="str">
        <f>HYPERLINK("http://www.daganm.co.il/sku/CABLE-703/1.5","CABLE-703/1.5")</f>
        <v>CABLE-703/1.5</v>
      </c>
      <c r="B1618" t="s">
        <v>6</v>
      </c>
      <c r="C1618" s="2" t="s">
        <v>1204</v>
      </c>
      <c r="D1618" s="32"/>
      <c r="E1618" s="35" t="s">
        <v>2813</v>
      </c>
    </row>
    <row r="1619" spans="1:5" x14ac:dyDescent="0.2">
      <c r="A1619" s="34" t="str">
        <f>HYPERLINK("http://www.daganm.co.il/sku/CABLE-703/1.8","CABLE-703/1.8")</f>
        <v>CABLE-703/1.8</v>
      </c>
      <c r="B1619" t="s">
        <v>6</v>
      </c>
      <c r="C1619" s="2" t="s">
        <v>1205</v>
      </c>
      <c r="D1619" s="32"/>
      <c r="E1619" s="35" t="s">
        <v>4286</v>
      </c>
    </row>
    <row r="1620" spans="1:5" x14ac:dyDescent="0.2">
      <c r="A1620" s="34" t="str">
        <f>HYPERLINK("http://www.daganm.co.il/sku/CABLE-703-N","CABLE-703-N")</f>
        <v>CABLE-703-N</v>
      </c>
      <c r="B1620" t="s">
        <v>6</v>
      </c>
      <c r="C1620" s="2" t="s">
        <v>3349</v>
      </c>
      <c r="D1620" s="32"/>
      <c r="E1620" s="35" t="s">
        <v>3489</v>
      </c>
    </row>
    <row r="1621" spans="1:5" x14ac:dyDescent="0.2">
      <c r="A1621" s="34" t="str">
        <f>HYPERLINK("http://www.daganm.co.il/sku/CABLE-703/3","CABLE-703/3")</f>
        <v>CABLE-703/3</v>
      </c>
      <c r="B1621" t="s">
        <v>6</v>
      </c>
      <c r="C1621" s="2" t="s">
        <v>1206</v>
      </c>
      <c r="D1621" s="32"/>
      <c r="E1621" s="35" t="s">
        <v>2814</v>
      </c>
    </row>
    <row r="1622" spans="1:5" x14ac:dyDescent="0.2">
      <c r="A1622" s="34" t="str">
        <f>HYPERLINK("http://www.daganm.co.il/sku/CABLE-703/5","CABLE-703/5")</f>
        <v>CABLE-703/5</v>
      </c>
      <c r="B1622" t="s">
        <v>6</v>
      </c>
      <c r="C1622" s="2" t="s">
        <v>1207</v>
      </c>
      <c r="D1622" s="32"/>
      <c r="E1622" s="35" t="s">
        <v>2815</v>
      </c>
    </row>
    <row r="1623" spans="1:5" x14ac:dyDescent="0.2">
      <c r="A1623" s="34" t="str">
        <f>HYPERLINK("http://www.daganm.co.il/sku/CABLE-703/10","CABLE-703/10")</f>
        <v>CABLE-703/10</v>
      </c>
      <c r="B1623" t="s">
        <v>6</v>
      </c>
      <c r="C1623" s="2" t="s">
        <v>1208</v>
      </c>
      <c r="D1623" s="32"/>
      <c r="E1623" s="35" t="s">
        <v>2816</v>
      </c>
    </row>
    <row r="1624" spans="1:5" x14ac:dyDescent="0.2">
      <c r="A1624" s="34" t="str">
        <f>HYPERLINK("http://www.daganm.co.il/sku/CBL713-1.8","CBL713-1.8")</f>
        <v>CBL713-1.8</v>
      </c>
      <c r="B1624" t="s">
        <v>6</v>
      </c>
      <c r="C1624" s="2" t="s">
        <v>1209</v>
      </c>
      <c r="D1624" s="32"/>
      <c r="E1624" s="35" t="s">
        <v>2817</v>
      </c>
    </row>
    <row r="1625" spans="1:5" x14ac:dyDescent="0.2">
      <c r="A1625" s="34" t="str">
        <f>HYPERLINK("http://www.daganm.co.il/sku/CABLE-703A/1.8","CABLE-703A/1.8")</f>
        <v>CABLE-703A/1.8</v>
      </c>
      <c r="B1625" t="s">
        <v>6</v>
      </c>
      <c r="C1625" s="2" t="s">
        <v>1210</v>
      </c>
      <c r="D1625" s="32"/>
      <c r="E1625" s="35" t="s">
        <v>2818</v>
      </c>
    </row>
    <row r="1626" spans="1:5" x14ac:dyDescent="0.2">
      <c r="A1626" s="34" t="str">
        <f>HYPERLINK("http://www.daganm.co.il/sku/CABLE-703A/3","CABLE-703A/3")</f>
        <v>CABLE-703A/3</v>
      </c>
      <c r="B1626" t="s">
        <v>6</v>
      </c>
      <c r="C1626" s="2" t="s">
        <v>1211</v>
      </c>
      <c r="D1626" s="32"/>
      <c r="E1626" s="35" t="s">
        <v>2819</v>
      </c>
    </row>
    <row r="1627" spans="1:5" x14ac:dyDescent="0.2">
      <c r="A1627" s="34" t="str">
        <f>HYPERLINK("http://www.daganm.co.il/sku/CABLE-703A/5","CABLE-703A/5")</f>
        <v>CABLE-703A/5</v>
      </c>
      <c r="B1627" t="s">
        <v>6</v>
      </c>
      <c r="C1627" s="2" t="s">
        <v>1212</v>
      </c>
      <c r="D1627" s="32">
        <v>45411</v>
      </c>
      <c r="E1627" s="35" t="s">
        <v>2820</v>
      </c>
    </row>
    <row r="1628" spans="1:5" x14ac:dyDescent="0.2">
      <c r="A1628" s="34" t="str">
        <f>HYPERLINK("http://www.daganm.co.il/sku/CABLE-703C15","CABLE-703C15")</f>
        <v>CABLE-703C15</v>
      </c>
      <c r="B1628" t="s">
        <v>6</v>
      </c>
      <c r="C1628" s="2" t="s">
        <v>3350</v>
      </c>
      <c r="D1628" s="36"/>
      <c r="E1628" s="35" t="s">
        <v>2821</v>
      </c>
    </row>
    <row r="1629" spans="1:5" x14ac:dyDescent="0.2">
      <c r="A1629" s="34" t="str">
        <f>HYPERLINK("http://www.daganm.co.il/sku/CABLE-703C15W-2","CABLE-703C15W-2")</f>
        <v>CABLE-703C15W-2</v>
      </c>
      <c r="B1629" t="s">
        <v>6</v>
      </c>
      <c r="C1629" s="2" t="s">
        <v>3351</v>
      </c>
      <c r="D1629" s="36"/>
      <c r="E1629" s="35" t="s">
        <v>3490</v>
      </c>
    </row>
    <row r="1630" spans="1:5" x14ac:dyDescent="0.2">
      <c r="A1630" s="34" t="str">
        <f>HYPERLINK("http://www.daganm.co.il/sku/CABLE-704/1.5","CABLE-704/1.5")</f>
        <v>CABLE-704/1.5</v>
      </c>
      <c r="B1630" t="s">
        <v>6</v>
      </c>
      <c r="C1630" s="2" t="s">
        <v>3880</v>
      </c>
      <c r="D1630" s="36"/>
      <c r="E1630" s="35" t="s">
        <v>2822</v>
      </c>
    </row>
    <row r="1631" spans="1:5" x14ac:dyDescent="0.2">
      <c r="A1631" s="34" t="str">
        <f>HYPERLINK("http://www.daganm.co.il/sku/CABLE-704/1.8","CABLE-704/1.8")</f>
        <v>CABLE-704/1.8</v>
      </c>
      <c r="B1631" t="s">
        <v>6</v>
      </c>
      <c r="C1631" s="2" t="s">
        <v>3881</v>
      </c>
      <c r="D1631" s="32"/>
      <c r="E1631" s="35" t="s">
        <v>4033</v>
      </c>
    </row>
    <row r="1632" spans="1:5" x14ac:dyDescent="0.2">
      <c r="A1632" s="34" t="str">
        <f>HYPERLINK("http://www.daganm.co.il/sku/CABLE-704/3","CABLE-704/3")</f>
        <v>CABLE-704/3</v>
      </c>
      <c r="B1632" t="s">
        <v>6</v>
      </c>
      <c r="C1632" s="2" t="s">
        <v>3882</v>
      </c>
      <c r="D1632" s="32"/>
      <c r="E1632" s="35" t="s">
        <v>2823</v>
      </c>
    </row>
    <row r="1633" spans="1:5" x14ac:dyDescent="0.2">
      <c r="A1633" s="34" t="str">
        <f>HYPERLINK("http://www.daganm.co.il/sku/CABLE-704/5","CABLE-704/5")</f>
        <v>CABLE-704/5</v>
      </c>
      <c r="B1633" t="s">
        <v>6</v>
      </c>
      <c r="C1633" s="2" t="s">
        <v>3883</v>
      </c>
      <c r="D1633" s="32"/>
      <c r="E1633" s="35" t="s">
        <v>2824</v>
      </c>
    </row>
    <row r="1634" spans="1:5" x14ac:dyDescent="0.2">
      <c r="A1634" s="34" t="str">
        <f>HYPERLINK("http://www.daganm.co.il/sku/CABLE-704A/1.8","CABLE-704A/1.8")</f>
        <v>CABLE-704A/1.8</v>
      </c>
      <c r="B1634" t="s">
        <v>6</v>
      </c>
      <c r="C1634" s="2" t="s">
        <v>3884</v>
      </c>
      <c r="D1634" s="32"/>
      <c r="E1634" s="35" t="s">
        <v>2825</v>
      </c>
    </row>
    <row r="1635" spans="1:5" x14ac:dyDescent="0.2">
      <c r="A1635" s="34" t="str">
        <f>HYPERLINK("http://www.daganm.co.il/sku/CABLE-704A/3","CABLE-704A/3")</f>
        <v>CABLE-704A/3</v>
      </c>
      <c r="B1635" t="s">
        <v>6</v>
      </c>
      <c r="C1635" s="2" t="s">
        <v>3885</v>
      </c>
      <c r="D1635" s="32"/>
      <c r="E1635" s="35" t="s">
        <v>2826</v>
      </c>
    </row>
    <row r="1636" spans="1:5" x14ac:dyDescent="0.2">
      <c r="A1636" s="34" t="str">
        <f>HYPERLINK("http://www.daganm.co.il/sku/CABLE-704A/5","CABLE-704A/5")</f>
        <v>CABLE-704A/5</v>
      </c>
      <c r="B1636" t="s">
        <v>6</v>
      </c>
      <c r="C1636" s="2" t="s">
        <v>3886</v>
      </c>
      <c r="D1636" s="32"/>
      <c r="E1636" s="35" t="s">
        <v>2827</v>
      </c>
    </row>
    <row r="1637" spans="1:5" x14ac:dyDescent="0.2">
      <c r="A1637" s="34" t="str">
        <f>HYPERLINK("http://www.daganm.co.il/sku/CABLE-785-2","CABLE-785-2")</f>
        <v>CABLE-785-2</v>
      </c>
      <c r="B1637" t="s">
        <v>6</v>
      </c>
      <c r="C1637" s="2" t="s">
        <v>1213</v>
      </c>
      <c r="D1637" s="32"/>
      <c r="E1637" s="35" t="s">
        <v>2828</v>
      </c>
    </row>
    <row r="1638" spans="1:5" x14ac:dyDescent="0.2">
      <c r="A1638" s="34" t="str">
        <f>HYPERLINK("http://www.daganm.co.il/sku/CABLE-705/0.5","CABLE-705/0.5")</f>
        <v>CABLE-705/0.5</v>
      </c>
      <c r="B1638" t="s">
        <v>6</v>
      </c>
      <c r="C1638" s="2" t="s">
        <v>1214</v>
      </c>
      <c r="D1638" s="32"/>
      <c r="E1638" s="35" t="s">
        <v>3628</v>
      </c>
    </row>
    <row r="1639" spans="1:5" x14ac:dyDescent="0.2">
      <c r="A1639" s="34" t="str">
        <f>HYPERLINK("http://www.daganm.co.il/sku/CABLE-705/1","CABLE-705/1")</f>
        <v>CABLE-705/1</v>
      </c>
      <c r="B1639" t="s">
        <v>6</v>
      </c>
      <c r="C1639" s="2" t="s">
        <v>1215</v>
      </c>
      <c r="D1639" s="32"/>
      <c r="E1639" s="35" t="s">
        <v>3628</v>
      </c>
    </row>
    <row r="1640" spans="1:5" x14ac:dyDescent="0.2">
      <c r="A1640" s="34" t="str">
        <f>HYPERLINK("http://www.daganm.co.il/sku/CABLE-705/1.5","CABLE-705/1.5")</f>
        <v>CABLE-705/1.5</v>
      </c>
      <c r="B1640" t="s">
        <v>6</v>
      </c>
      <c r="C1640" s="2" t="s">
        <v>1216</v>
      </c>
      <c r="D1640" s="32"/>
      <c r="E1640" s="35" t="s">
        <v>2829</v>
      </c>
    </row>
    <row r="1641" spans="1:5" x14ac:dyDescent="0.2">
      <c r="A1641" s="34" t="str">
        <f>HYPERLINK("http://www.daganm.co.il/sku/CABLE-705/1.8","CABLE-705/1.8")</f>
        <v>CABLE-705/1.8</v>
      </c>
      <c r="B1641" t="s">
        <v>6</v>
      </c>
      <c r="C1641" s="2" t="s">
        <v>1217</v>
      </c>
      <c r="D1641" s="32"/>
      <c r="E1641" s="35" t="s">
        <v>2830</v>
      </c>
    </row>
    <row r="1642" spans="1:5" x14ac:dyDescent="0.2">
      <c r="A1642" s="34" t="str">
        <f>HYPERLINK("http://www.daganm.co.il/sku/CABLE-705/3","CABLE-705/3")</f>
        <v>CABLE-705/3</v>
      </c>
      <c r="B1642" t="s">
        <v>6</v>
      </c>
      <c r="C1642" s="2" t="s">
        <v>1218</v>
      </c>
      <c r="D1642" s="32"/>
      <c r="E1642" s="35" t="s">
        <v>2831</v>
      </c>
    </row>
    <row r="1643" spans="1:5" x14ac:dyDescent="0.2">
      <c r="A1643" s="34" t="str">
        <f>HYPERLINK("http://www.daganm.co.il/sku/CABLE-705/5","CABLE-705/5")</f>
        <v>CABLE-705/5</v>
      </c>
      <c r="B1643" t="s">
        <v>6</v>
      </c>
      <c r="C1643" s="2" t="s">
        <v>1219</v>
      </c>
      <c r="D1643" s="32"/>
      <c r="E1643" s="35" t="s">
        <v>2832</v>
      </c>
    </row>
    <row r="1644" spans="1:5" x14ac:dyDescent="0.2">
      <c r="A1644" s="34" t="str">
        <f>HYPERLINK("http://www.daganm.co.il/sku/CABLE-705/10","CABLE-705/10")</f>
        <v>CABLE-705/10</v>
      </c>
      <c r="B1644" t="s">
        <v>6</v>
      </c>
      <c r="C1644" s="2" t="s">
        <v>1220</v>
      </c>
      <c r="D1644" s="32"/>
      <c r="E1644" s="35" t="s">
        <v>2833</v>
      </c>
    </row>
    <row r="1645" spans="1:5" x14ac:dyDescent="0.2">
      <c r="A1645" s="34" t="str">
        <f>HYPERLINK("http://www.daganm.co.il/sku/CBL705-1.5/0.5","CBL705-1.5/0.5")</f>
        <v>CBL705-1.5/0.5</v>
      </c>
      <c r="B1645" t="s">
        <v>6</v>
      </c>
      <c r="C1645" s="2" t="s">
        <v>3887</v>
      </c>
      <c r="D1645" s="32"/>
      <c r="E1645" s="35" t="s">
        <v>4034</v>
      </c>
    </row>
    <row r="1646" spans="1:5" x14ac:dyDescent="0.2">
      <c r="A1646" s="34" t="str">
        <f>HYPERLINK("http://www.daganm.co.il/sku/CBL705-1.5/1","CBL705-1.5/1")</f>
        <v>CBL705-1.5/1</v>
      </c>
      <c r="B1646" t="s">
        <v>6</v>
      </c>
      <c r="C1646" s="2" t="s">
        <v>3888</v>
      </c>
      <c r="D1646" s="32"/>
      <c r="E1646" s="35" t="s">
        <v>4035</v>
      </c>
    </row>
    <row r="1647" spans="1:5" x14ac:dyDescent="0.2">
      <c r="A1647" s="34" t="str">
        <f>HYPERLINK("http://www.daganm.co.il/sku/CBL705-1.5/1.8","CBL705-1.5/1.8")</f>
        <v>CBL705-1.5/1.8</v>
      </c>
      <c r="B1647" t="s">
        <v>6</v>
      </c>
      <c r="C1647" s="2" t="s">
        <v>3889</v>
      </c>
      <c r="D1647" s="32"/>
      <c r="E1647" s="35" t="s">
        <v>4036</v>
      </c>
    </row>
    <row r="1648" spans="1:5" x14ac:dyDescent="0.2">
      <c r="A1648" s="37" t="str">
        <f>HYPERLINK("http://www.daganm.co.il/sku/CBL705-1.5/3","CBL705-1.5/3")</f>
        <v>CBL705-1.5/3</v>
      </c>
      <c r="B1648" t="s">
        <v>6</v>
      </c>
      <c r="C1648" s="2" t="s">
        <v>4156</v>
      </c>
      <c r="D1648" s="32">
        <v>45411</v>
      </c>
      <c r="E1648" s="35" t="s">
        <v>4287</v>
      </c>
    </row>
    <row r="1649" spans="1:5" x14ac:dyDescent="0.2">
      <c r="A1649" s="34" t="str">
        <f>HYPERLINK("http://www.daganm.co.il/sku/CBL705/1.2-BLU","CBL705/1.2-BLU")</f>
        <v>CBL705/1.2-BLU</v>
      </c>
      <c r="B1649" t="s">
        <v>6</v>
      </c>
      <c r="C1649" s="2" t="s">
        <v>3575</v>
      </c>
      <c r="D1649" s="32"/>
      <c r="E1649" s="35" t="s">
        <v>3664</v>
      </c>
    </row>
    <row r="1650" spans="1:5" x14ac:dyDescent="0.2">
      <c r="A1650" s="34" t="str">
        <f>HYPERLINK("http://www.daganm.co.il/sku/CBL705/1.2-RE","CBL705/1.2-RE")</f>
        <v>CBL705/1.2-RE</v>
      </c>
      <c r="B1650" t="s">
        <v>6</v>
      </c>
      <c r="C1650" s="2" t="s">
        <v>3576</v>
      </c>
      <c r="D1650" s="32"/>
      <c r="E1650" s="35" t="s">
        <v>3665</v>
      </c>
    </row>
    <row r="1651" spans="1:5" x14ac:dyDescent="0.2">
      <c r="A1651" s="34" t="str">
        <f>HYPERLINK("http://www.daganm.co.il/sku/CBL705/1.8-BLU","CBL705/1.8-BLU")</f>
        <v>CBL705/1.8-BLU</v>
      </c>
      <c r="B1651" t="s">
        <v>6</v>
      </c>
      <c r="C1651" s="2" t="s">
        <v>3577</v>
      </c>
      <c r="D1651" s="32"/>
      <c r="E1651" s="35" t="s">
        <v>3666</v>
      </c>
    </row>
    <row r="1652" spans="1:5" x14ac:dyDescent="0.2">
      <c r="A1652" s="34" t="str">
        <f>HYPERLINK("http://www.daganm.co.il/sku/CBL705/1.8-RE","CBL705/1.8-RE")</f>
        <v>CBL705/1.8-RE</v>
      </c>
      <c r="B1652" t="s">
        <v>6</v>
      </c>
      <c r="C1652" s="2" t="s">
        <v>3578</v>
      </c>
      <c r="D1652" s="32"/>
      <c r="E1652" s="35" t="s">
        <v>3667</v>
      </c>
    </row>
    <row r="1653" spans="1:5" x14ac:dyDescent="0.2">
      <c r="A1653" s="34" t="str">
        <f>HYPERLINK("http://www.daganm.co.il/sku/CABLE-705C15-0.5","CABLE-705C15-0.5")</f>
        <v>CABLE-705C15-0.5</v>
      </c>
      <c r="B1653" t="s">
        <v>6</v>
      </c>
      <c r="C1653" s="2" t="s">
        <v>3890</v>
      </c>
      <c r="D1653" s="32"/>
      <c r="E1653" s="35" t="s">
        <v>4037</v>
      </c>
    </row>
    <row r="1654" spans="1:5" x14ac:dyDescent="0.2">
      <c r="A1654" s="34" t="str">
        <f>HYPERLINK("http://www.daganm.co.il/sku/CABLE-705C15-1","CABLE-705C15-1")</f>
        <v>CABLE-705C15-1</v>
      </c>
      <c r="B1654" t="s">
        <v>6</v>
      </c>
      <c r="C1654" s="2" t="s">
        <v>1221</v>
      </c>
      <c r="D1654" s="32"/>
      <c r="E1654" s="35" t="s">
        <v>2834</v>
      </c>
    </row>
    <row r="1655" spans="1:5" x14ac:dyDescent="0.2">
      <c r="A1655" s="34" t="str">
        <f>HYPERLINK("http://www.daganm.co.il/sku/CABLE-705C15-1.8","CABLE-705C15-1.8")</f>
        <v>CABLE-705C15-1.8</v>
      </c>
      <c r="B1655" t="s">
        <v>6</v>
      </c>
      <c r="C1655" s="2" t="s">
        <v>1222</v>
      </c>
      <c r="D1655" s="32"/>
      <c r="E1655" s="35" t="s">
        <v>2835</v>
      </c>
    </row>
    <row r="1656" spans="1:5" x14ac:dyDescent="0.2">
      <c r="A1656" s="34" t="str">
        <f>HYPERLINK("http://www.daganm.co.il/sku/CABLE-705C15-3","CABLE-705C15-3")</f>
        <v>CABLE-705C15-3</v>
      </c>
      <c r="B1656" t="s">
        <v>6</v>
      </c>
      <c r="C1656" s="2" t="s">
        <v>1223</v>
      </c>
      <c r="D1656" s="32"/>
      <c r="E1656" s="35" t="s">
        <v>2836</v>
      </c>
    </row>
    <row r="1657" spans="1:5" x14ac:dyDescent="0.2">
      <c r="A1657" s="34" t="str">
        <f>HYPERLINK("http://www.daganm.co.il/sku/CABLE-705C15-5","CABLE-705C15-5")</f>
        <v>CABLE-705C15-5</v>
      </c>
      <c r="B1657" t="s">
        <v>6</v>
      </c>
      <c r="C1657" s="2" t="s">
        <v>1224</v>
      </c>
      <c r="D1657" s="32"/>
      <c r="E1657" s="35" t="s">
        <v>2837</v>
      </c>
    </row>
    <row r="1658" spans="1:5" x14ac:dyDescent="0.2">
      <c r="A1658" s="34" t="str">
        <f>HYPERLINK("http://www.daganm.co.il/sku/CABLE-712/0.7","CABLE-712/0.7")</f>
        <v>CABLE-712/0.7</v>
      </c>
      <c r="B1658" t="s">
        <v>6</v>
      </c>
      <c r="C1658" s="2" t="s">
        <v>3891</v>
      </c>
      <c r="D1658" s="32"/>
      <c r="E1658" s="35" t="s">
        <v>4038</v>
      </c>
    </row>
    <row r="1659" spans="1:5" x14ac:dyDescent="0.2">
      <c r="A1659" s="34" t="str">
        <f>HYPERLINK("http://www.daganm.co.il/sku/CABLE-712/1","CABLE-712/1")</f>
        <v>CABLE-712/1</v>
      </c>
      <c r="B1659" t="s">
        <v>6</v>
      </c>
      <c r="C1659" s="2" t="s">
        <v>1225</v>
      </c>
      <c r="D1659" s="32"/>
      <c r="E1659" s="35" t="s">
        <v>2838</v>
      </c>
    </row>
    <row r="1660" spans="1:5" x14ac:dyDescent="0.2">
      <c r="A1660" s="34" t="str">
        <f>HYPERLINK("http://www.daganm.co.il/sku/CABLE-712/1.5","CABLE-712/1.5")</f>
        <v>CABLE-712/1.5</v>
      </c>
      <c r="B1660" t="s">
        <v>6</v>
      </c>
      <c r="C1660" s="2" t="s">
        <v>1226</v>
      </c>
      <c r="D1660" s="32"/>
      <c r="E1660" s="35" t="s">
        <v>2839</v>
      </c>
    </row>
    <row r="1661" spans="1:5" x14ac:dyDescent="0.2">
      <c r="A1661" s="34" t="str">
        <f>HYPERLINK("http://www.daganm.co.il/sku/CABLE-712/1.8","CABLE-712/1.8")</f>
        <v>CABLE-712/1.8</v>
      </c>
      <c r="B1661" t="s">
        <v>6</v>
      </c>
      <c r="C1661" s="2" t="s">
        <v>1227</v>
      </c>
      <c r="D1661" s="32"/>
      <c r="E1661" s="35" t="s">
        <v>2840</v>
      </c>
    </row>
    <row r="1662" spans="1:5" x14ac:dyDescent="0.2">
      <c r="A1662" s="34" t="str">
        <f>HYPERLINK("http://www.daganm.co.il/sku/CABLE-712/3","CABLE-712/3")</f>
        <v>CABLE-712/3</v>
      </c>
      <c r="B1662" t="s">
        <v>6</v>
      </c>
      <c r="C1662" s="2" t="s">
        <v>1228</v>
      </c>
      <c r="D1662" s="32"/>
      <c r="E1662" s="35" t="s">
        <v>3628</v>
      </c>
    </row>
    <row r="1663" spans="1:5" x14ac:dyDescent="0.2">
      <c r="A1663" s="34" t="str">
        <f>HYPERLINK("http://www.daganm.co.il/sku/CABLE-712/5","CABLE-712/5")</f>
        <v>CABLE-712/5</v>
      </c>
      <c r="B1663" t="s">
        <v>6</v>
      </c>
      <c r="C1663" s="2" t="s">
        <v>1229</v>
      </c>
      <c r="D1663" s="32"/>
      <c r="E1663" s="35" t="s">
        <v>2841</v>
      </c>
    </row>
    <row r="1664" spans="1:5" x14ac:dyDescent="0.2">
      <c r="A1664" s="34" t="str">
        <f>HYPERLINK("http://www.daganm.co.il/sku/CABLE-707/1.8","CABLE-707/1.8")</f>
        <v>CABLE-707/1.8</v>
      </c>
      <c r="B1664" t="s">
        <v>6</v>
      </c>
      <c r="C1664" s="2" t="s">
        <v>1231</v>
      </c>
      <c r="D1664" s="32"/>
      <c r="E1664" s="35" t="s">
        <v>2845</v>
      </c>
    </row>
    <row r="1665" spans="1:5" x14ac:dyDescent="0.2">
      <c r="A1665" s="34" t="str">
        <f>HYPERLINK("http://www.daganm.co.il/sku/CABLE-707/3","CABLE-707/3")</f>
        <v>CABLE-707/3</v>
      </c>
      <c r="B1665" t="s">
        <v>6</v>
      </c>
      <c r="C1665" s="2" t="s">
        <v>1232</v>
      </c>
      <c r="D1665" s="32"/>
      <c r="E1665" s="32" t="s">
        <v>2846</v>
      </c>
    </row>
    <row r="1666" spans="1:5" x14ac:dyDescent="0.2">
      <c r="A1666" s="34" t="str">
        <f>HYPERLINK("http://www.daganm.co.il/sku/CABLE-707/5","CABLE-707/5")</f>
        <v>CABLE-707/5</v>
      </c>
      <c r="B1666" t="s">
        <v>6</v>
      </c>
      <c r="C1666" s="2" t="s">
        <v>1233</v>
      </c>
      <c r="D1666" s="32"/>
      <c r="E1666" s="35" t="s">
        <v>2847</v>
      </c>
    </row>
    <row r="1667" spans="1:5" x14ac:dyDescent="0.2">
      <c r="A1667" s="34" t="str">
        <f>HYPERLINK("http://www.daganm.co.il/sku/CABLE-706/1.8","CABLE-706/1.8")</f>
        <v>CABLE-706/1.8</v>
      </c>
      <c r="B1667" t="s">
        <v>6</v>
      </c>
      <c r="C1667" s="2" t="s">
        <v>1234</v>
      </c>
      <c r="D1667" s="32"/>
      <c r="E1667" s="35" t="s">
        <v>2848</v>
      </c>
    </row>
    <row r="1668" spans="1:5" x14ac:dyDescent="0.2">
      <c r="A1668" s="34" t="str">
        <f>HYPERLINK("http://www.daganm.co.il/sku/CABLE-706/3","CABLE-706/3")</f>
        <v>CABLE-706/3</v>
      </c>
      <c r="B1668" t="s">
        <v>6</v>
      </c>
      <c r="C1668" s="2" t="s">
        <v>1235</v>
      </c>
      <c r="D1668" s="32"/>
      <c r="E1668" s="35" t="s">
        <v>2849</v>
      </c>
    </row>
    <row r="1669" spans="1:5" x14ac:dyDescent="0.2">
      <c r="A1669" s="34" t="str">
        <f>HYPERLINK("http://www.daganm.co.il/sku/CABLE-706/5","CABLE-706/5")</f>
        <v>CABLE-706/5</v>
      </c>
      <c r="B1669" t="s">
        <v>6</v>
      </c>
      <c r="C1669" s="2" t="s">
        <v>1236</v>
      </c>
      <c r="D1669" s="32"/>
      <c r="E1669" s="35" t="s">
        <v>2850</v>
      </c>
    </row>
    <row r="1670" spans="1:5" x14ac:dyDescent="0.2">
      <c r="A1670" s="34" t="str">
        <f>HYPERLINK("http://www.daganm.co.il/sku/CBL706/1.5-RE","CBL706/1.5-RE")</f>
        <v>CBL706/1.5-RE</v>
      </c>
      <c r="B1670" t="s">
        <v>6</v>
      </c>
      <c r="C1670" s="2" t="s">
        <v>1237</v>
      </c>
      <c r="D1670" s="32"/>
      <c r="E1670" s="35" t="s">
        <v>2851</v>
      </c>
    </row>
    <row r="1671" spans="1:5" x14ac:dyDescent="0.2">
      <c r="A1671" s="34" t="str">
        <f>HYPERLINK("http://www.daganm.co.il/sku/CBL706/1-RE","CBL706/1-RE")</f>
        <v>CBL706/1-RE</v>
      </c>
      <c r="B1671" t="s">
        <v>6</v>
      </c>
      <c r="C1671" s="2" t="s">
        <v>1238</v>
      </c>
      <c r="D1671" s="32"/>
      <c r="E1671" s="35" t="s">
        <v>2852</v>
      </c>
    </row>
    <row r="1672" spans="1:5" x14ac:dyDescent="0.2">
      <c r="A1672" s="34" t="str">
        <f>HYPERLINK("http://www.daganm.co.il/sku/CABLE-709/1.8","CABLE-709/1.8")</f>
        <v>CABLE-709/1.8</v>
      </c>
      <c r="B1672" t="s">
        <v>6</v>
      </c>
      <c r="C1672" s="2" t="s">
        <v>1239</v>
      </c>
      <c r="D1672" s="32"/>
      <c r="E1672" s="35" t="s">
        <v>2853</v>
      </c>
    </row>
    <row r="1673" spans="1:5" x14ac:dyDescent="0.2">
      <c r="A1673" s="34" t="str">
        <f>HYPERLINK("http://www.daganm.co.il/sku/CABLE-709/2.5","CABLE-709/2.5")</f>
        <v>CABLE-709/2.5</v>
      </c>
      <c r="B1673" t="s">
        <v>6</v>
      </c>
      <c r="C1673" s="2" t="s">
        <v>4157</v>
      </c>
      <c r="D1673" s="32"/>
      <c r="E1673" s="35" t="s">
        <v>2854</v>
      </c>
    </row>
    <row r="1674" spans="1:5" x14ac:dyDescent="0.2">
      <c r="A1674" s="34" t="str">
        <f>HYPERLINK("http://www.daganm.co.il/sku/CABLE-710/1.8","CABLE-710/1.8")</f>
        <v>CABLE-710/1.8</v>
      </c>
      <c r="B1674" t="s">
        <v>6</v>
      </c>
      <c r="C1674" s="2" t="s">
        <v>1240</v>
      </c>
      <c r="D1674" s="32"/>
      <c r="E1674" s="35" t="s">
        <v>2855</v>
      </c>
    </row>
    <row r="1675" spans="1:5" x14ac:dyDescent="0.2">
      <c r="A1675" s="34" t="str">
        <f>HYPERLINK("http://www.daganm.co.il/sku/CABLE-710/3","CABLE-710/3")</f>
        <v>CABLE-710/3</v>
      </c>
      <c r="B1675" t="s">
        <v>6</v>
      </c>
      <c r="C1675" s="2" t="s">
        <v>1241</v>
      </c>
      <c r="D1675" s="32"/>
      <c r="E1675" s="35" t="s">
        <v>2856</v>
      </c>
    </row>
    <row r="1676" spans="1:5" x14ac:dyDescent="0.2">
      <c r="A1676" s="34" t="str">
        <f>HYPERLINK("http://www.daganm.co.il/sku/CABLE-720/3","CABLE-720/3")</f>
        <v>CABLE-720/3</v>
      </c>
      <c r="B1676" t="s">
        <v>6</v>
      </c>
      <c r="C1676" s="2" t="s">
        <v>1242</v>
      </c>
      <c r="D1676" s="32"/>
      <c r="E1676" s="35" t="s">
        <v>2857</v>
      </c>
    </row>
    <row r="1677" spans="1:5" x14ac:dyDescent="0.2">
      <c r="A1677" s="34" t="str">
        <f>HYPERLINK("http://www.daganm.co.il/sku/CABLE-720/5","CABLE-720/5")</f>
        <v>CABLE-720/5</v>
      </c>
      <c r="B1677" t="s">
        <v>6</v>
      </c>
      <c r="C1677" s="2" t="s">
        <v>1243</v>
      </c>
      <c r="D1677" s="32"/>
      <c r="E1677" s="35" t="s">
        <v>2858</v>
      </c>
    </row>
    <row r="1678" spans="1:5" x14ac:dyDescent="0.2">
      <c r="A1678" s="34" t="str">
        <f>HYPERLINK("http://www.daganm.co.il/sku/CABLE-711","CABLE-711")</f>
        <v>CABLE-711</v>
      </c>
      <c r="B1678" t="s">
        <v>6</v>
      </c>
      <c r="C1678" s="2" t="s">
        <v>1244</v>
      </c>
      <c r="D1678" s="32"/>
      <c r="E1678" s="35" t="s">
        <v>2859</v>
      </c>
    </row>
    <row r="1679" spans="1:5" x14ac:dyDescent="0.2">
      <c r="A1679" s="37" t="str">
        <f>HYPERLINK("http://www.daganm.co.il/sku/CABLE-780-0.5","CABLE-780-0.5")</f>
        <v>CABLE-780-0.5</v>
      </c>
      <c r="B1679" t="s">
        <v>6</v>
      </c>
      <c r="C1679" s="2" t="s">
        <v>4158</v>
      </c>
      <c r="D1679" s="32"/>
      <c r="E1679" s="35" t="s">
        <v>4288</v>
      </c>
    </row>
    <row r="1680" spans="1:5" x14ac:dyDescent="0.2">
      <c r="A1680" s="34" t="str">
        <f>HYPERLINK("http://www.daganm.co.il/sku/CABLE-780-1","CABLE-780-1")</f>
        <v>CABLE-780-1</v>
      </c>
      <c r="B1680" t="s">
        <v>6</v>
      </c>
      <c r="C1680" s="2" t="s">
        <v>4159</v>
      </c>
      <c r="D1680" s="32"/>
      <c r="E1680" s="32" t="s">
        <v>3628</v>
      </c>
    </row>
    <row r="1681" spans="1:5" x14ac:dyDescent="0.2">
      <c r="A1681" s="34" t="str">
        <f>HYPERLINK("http://www.daganm.co.il/sku/CABLE-780-1.8","CABLE-780-1.8")</f>
        <v>CABLE-780-1.8</v>
      </c>
      <c r="B1681" t="s">
        <v>6</v>
      </c>
      <c r="C1681" s="2" t="s">
        <v>4160</v>
      </c>
      <c r="D1681" s="32"/>
      <c r="E1681" s="35" t="s">
        <v>2860</v>
      </c>
    </row>
    <row r="1682" spans="1:5" x14ac:dyDescent="0.2">
      <c r="B1682"/>
      <c r="C1682" s="33" t="s">
        <v>3579</v>
      </c>
      <c r="D1682" s="32"/>
      <c r="E1682" s="35"/>
    </row>
    <row r="1683" spans="1:5" x14ac:dyDescent="0.2">
      <c r="A1683" s="34" t="str">
        <f>HYPERLINK("http://www.daganm.co.il/sku/CABLE-708/1","CABLE-708/1")</f>
        <v>CABLE-708/1</v>
      </c>
      <c r="B1683" t="s">
        <v>6</v>
      </c>
      <c r="C1683" s="2" t="s">
        <v>1230</v>
      </c>
      <c r="D1683" s="32"/>
      <c r="E1683" s="35" t="s">
        <v>2842</v>
      </c>
    </row>
    <row r="1684" spans="1:5" x14ac:dyDescent="0.2">
      <c r="A1684" s="34" t="str">
        <f>HYPERLINK("http://www.daganm.co.il/sku/CABLE-708/2","CABLE-708/2")</f>
        <v>CABLE-708/2</v>
      </c>
      <c r="B1684" t="s">
        <v>6</v>
      </c>
      <c r="C1684" s="2" t="s">
        <v>3580</v>
      </c>
      <c r="D1684" s="32"/>
      <c r="E1684" s="35" t="s">
        <v>2843</v>
      </c>
    </row>
    <row r="1685" spans="1:5" x14ac:dyDescent="0.2">
      <c r="A1685" s="34" t="str">
        <f>HYPERLINK("http://www.daganm.co.il/sku/CABLE-708/3","CABLE-708/3")</f>
        <v>CABLE-708/3</v>
      </c>
      <c r="B1685" t="s">
        <v>6</v>
      </c>
      <c r="C1685" s="2" t="s">
        <v>3581</v>
      </c>
      <c r="D1685" s="32"/>
      <c r="E1685" s="35" t="s">
        <v>2844</v>
      </c>
    </row>
    <row r="1686" spans="1:5" x14ac:dyDescent="0.2">
      <c r="A1686" s="34" t="str">
        <f>HYPERLINK("http://www.daganm.co.il/sku/CABLE-708/4","CABLE-708/4")</f>
        <v>CABLE-708/4</v>
      </c>
      <c r="B1686" t="s">
        <v>6</v>
      </c>
      <c r="C1686" s="2" t="s">
        <v>3582</v>
      </c>
      <c r="D1686" s="32"/>
      <c r="E1686" s="35" t="s">
        <v>3491</v>
      </c>
    </row>
    <row r="1687" spans="1:5" x14ac:dyDescent="0.2">
      <c r="A1687" s="34" t="str">
        <f>HYPERLINK("http://www.daganm.co.il/sku/CABLE-70820/3","CABLE-70820/3")</f>
        <v>CABLE-70820/3</v>
      </c>
      <c r="B1687" t="s">
        <v>6</v>
      </c>
      <c r="C1687" s="2" t="s">
        <v>3583</v>
      </c>
      <c r="D1687" s="32"/>
      <c r="E1687" s="35" t="s">
        <v>3668</v>
      </c>
    </row>
    <row r="1688" spans="1:5" x14ac:dyDescent="0.2">
      <c r="A1688" s="34" t="str">
        <f>HYPERLINK("http://www.daganm.co.il/sku/CABLE-70820/4","CABLE-70820/4")</f>
        <v>CABLE-70820/4</v>
      </c>
      <c r="B1688" t="s">
        <v>6</v>
      </c>
      <c r="C1688" s="2" t="s">
        <v>3584</v>
      </c>
      <c r="D1688" s="32"/>
      <c r="E1688" s="35" t="s">
        <v>3669</v>
      </c>
    </row>
    <row r="1689" spans="1:5" x14ac:dyDescent="0.2">
      <c r="A1689" s="34" t="str">
        <f>HYPERLINK("http://www.daganm.co.il/sku/CABLE-708EU/3","CABLE-708EU/3")</f>
        <v>CABLE-708EU/3</v>
      </c>
      <c r="B1689" t="s">
        <v>6</v>
      </c>
      <c r="C1689" s="2" t="s">
        <v>3585</v>
      </c>
      <c r="D1689" s="32"/>
      <c r="E1689" s="35" t="s">
        <v>3670</v>
      </c>
    </row>
    <row r="1690" spans="1:5" x14ac:dyDescent="0.2">
      <c r="A1690" s="34" t="str">
        <f>HYPERLINK("http://www.daganm.co.il/sku/EC-ADAP17","EC-ADAP17B")</f>
        <v>EC-ADAP17B</v>
      </c>
      <c r="B1690" t="s">
        <v>6</v>
      </c>
      <c r="C1690" s="2" t="s">
        <v>1247</v>
      </c>
      <c r="D1690" s="32" t="s">
        <v>2</v>
      </c>
      <c r="E1690" s="32" t="s">
        <v>2862</v>
      </c>
    </row>
    <row r="1691" spans="1:5" x14ac:dyDescent="0.2">
      <c r="A1691" s="34" t="str">
        <f>HYPERLINK("http://www.daganm.co.il/sku/EC-ADAP17","EC-ADAP17W")</f>
        <v>EC-ADAP17W</v>
      </c>
      <c r="B1691" t="s">
        <v>6</v>
      </c>
      <c r="C1691" s="2" t="s">
        <v>1248</v>
      </c>
      <c r="D1691" s="32" t="s">
        <v>2</v>
      </c>
      <c r="E1691" s="32" t="s">
        <v>2863</v>
      </c>
    </row>
    <row r="1692" spans="1:5" x14ac:dyDescent="0.2">
      <c r="A1692" s="34" t="str">
        <f>HYPERLINK("http://www.daganm.co.il/sku/EC-ADAP23","EC-ADAP23")</f>
        <v>EC-ADAP23</v>
      </c>
      <c r="B1692" t="s">
        <v>6</v>
      </c>
      <c r="C1692" s="2" t="s">
        <v>1249</v>
      </c>
      <c r="D1692" s="32" t="s">
        <v>2</v>
      </c>
      <c r="E1692" s="35" t="s">
        <v>3628</v>
      </c>
    </row>
    <row r="1693" spans="1:5" x14ac:dyDescent="0.2">
      <c r="A1693" s="34" t="str">
        <f>HYPERLINK("http://www.daganm.co.il/sku/EC-ADAP32B","EC-ADAP32B")</f>
        <v>EC-ADAP32B</v>
      </c>
      <c r="B1693" t="s">
        <v>6</v>
      </c>
      <c r="C1693" s="2" t="s">
        <v>3586</v>
      </c>
      <c r="D1693" s="32" t="s">
        <v>2</v>
      </c>
      <c r="E1693" s="35" t="s">
        <v>3671</v>
      </c>
    </row>
    <row r="1694" spans="1:5" x14ac:dyDescent="0.2">
      <c r="A1694" s="34" t="str">
        <f>HYPERLINK("http://www.daganm.co.il/sku/EC-ADAP25","EC-ADAP25")</f>
        <v>EC-ADAP25</v>
      </c>
      <c r="B1694" t="s">
        <v>6</v>
      </c>
      <c r="C1694" s="2" t="s">
        <v>3892</v>
      </c>
      <c r="D1694" s="32" t="s">
        <v>2</v>
      </c>
      <c r="E1694" s="35" t="s">
        <v>4039</v>
      </c>
    </row>
    <row r="1695" spans="1:5" x14ac:dyDescent="0.2">
      <c r="A1695" s="34" t="str">
        <f>HYPERLINK("http://www.daganm.co.il/sku/EC-IS3PPLUG","EC-IS3PPLUG")</f>
        <v>EC-IS3PPLUG</v>
      </c>
      <c r="B1695" t="s">
        <v>6</v>
      </c>
      <c r="C1695" s="2" t="s">
        <v>1245</v>
      </c>
      <c r="D1695" s="32" t="s">
        <v>2</v>
      </c>
      <c r="E1695" s="35" t="s">
        <v>2861</v>
      </c>
    </row>
    <row r="1696" spans="1:5" x14ac:dyDescent="0.2">
      <c r="A1696" s="34" t="str">
        <f>HYPERLINK("http://www.daganm.co.il/sku/EC-IS3PSOCK","EC-IS3PSOCK")</f>
        <v>EC-IS3PSOCK</v>
      </c>
      <c r="B1696" t="s">
        <v>6</v>
      </c>
      <c r="C1696" s="2" t="s">
        <v>1246</v>
      </c>
      <c r="D1696" s="32" t="s">
        <v>2</v>
      </c>
      <c r="E1696" s="35" t="s">
        <v>3628</v>
      </c>
    </row>
    <row r="1697" spans="1:5" x14ac:dyDescent="0.2">
      <c r="A1697" s="37" t="str">
        <f>HYPERLINK("http://www.daganm.co.il/sku/EC-C13-1","EC-C13-1")</f>
        <v>EC-C13-1</v>
      </c>
      <c r="B1697" t="s">
        <v>6</v>
      </c>
      <c r="C1697" s="2" t="s">
        <v>4161</v>
      </c>
      <c r="D1697" s="32"/>
      <c r="E1697" s="35" t="s">
        <v>4289</v>
      </c>
    </row>
    <row r="1698" spans="1:5" x14ac:dyDescent="0.2">
      <c r="A1698" s="37" t="str">
        <f>HYPERLINK("http://www.daganm.co.il/sku/EC-C14-1","EC-C14-1")</f>
        <v>EC-C14-1</v>
      </c>
      <c r="B1698" t="s">
        <v>6</v>
      </c>
      <c r="C1698" s="2" t="s">
        <v>4162</v>
      </c>
      <c r="D1698" s="32"/>
      <c r="E1698" s="35" t="s">
        <v>4290</v>
      </c>
    </row>
    <row r="1699" spans="1:5" x14ac:dyDescent="0.2">
      <c r="A1699" s="37" t="str">
        <f>HYPERLINK("http://www.daganm.co.il/sku/EC-C19-1","EC-C19-1")</f>
        <v>EC-C19-1</v>
      </c>
      <c r="B1699" t="s">
        <v>6</v>
      </c>
      <c r="C1699" s="2" t="s">
        <v>4163</v>
      </c>
      <c r="D1699" s="32"/>
      <c r="E1699" s="35" t="s">
        <v>4247</v>
      </c>
    </row>
    <row r="1700" spans="1:5" x14ac:dyDescent="0.2">
      <c r="A1700" s="37" t="str">
        <f>HYPERLINK("http://www.daganm.co.il/sku/EC-C20-1","EC-C20-1")</f>
        <v>EC-C20-1</v>
      </c>
      <c r="B1700" t="s">
        <v>6</v>
      </c>
      <c r="C1700" s="2" t="s">
        <v>4164</v>
      </c>
      <c r="D1700" s="32"/>
      <c r="E1700" s="35" t="s">
        <v>4291</v>
      </c>
    </row>
    <row r="1701" spans="1:5" x14ac:dyDescent="0.2">
      <c r="B1701"/>
      <c r="C1701" s="33" t="s">
        <v>66</v>
      </c>
      <c r="D1701" s="32"/>
      <c r="E1701" s="35"/>
    </row>
    <row r="1702" spans="1:5" x14ac:dyDescent="0.2">
      <c r="A1702" s="34" t="str">
        <f>HYPERLINK("http://www.daganm.co.il/sku/CABLE-703EU","CABLE-703EU")</f>
        <v>CABLE-703EU</v>
      </c>
      <c r="B1702" t="s">
        <v>6</v>
      </c>
      <c r="C1702" s="2" t="s">
        <v>1250</v>
      </c>
      <c r="D1702" s="32"/>
      <c r="E1702" s="35" t="s">
        <v>2864</v>
      </c>
    </row>
    <row r="1703" spans="1:5" x14ac:dyDescent="0.2">
      <c r="A1703" s="34" t="str">
        <f>HYPERLINK("http://www.daganm.co.il/sku/CABLE-703US","CABLE-703US")</f>
        <v>CABLE-703US</v>
      </c>
      <c r="B1703" t="s">
        <v>6</v>
      </c>
      <c r="C1703" s="2" t="s">
        <v>1251</v>
      </c>
      <c r="D1703" s="32"/>
      <c r="E1703" s="35" t="s">
        <v>2865</v>
      </c>
    </row>
    <row r="1704" spans="1:5" x14ac:dyDescent="0.2">
      <c r="A1704" s="34" t="str">
        <f>HYPERLINK("http://www.daganm.co.il/sku/CABLE-703BR","CABLE-703BR")</f>
        <v>CABLE-703BR</v>
      </c>
      <c r="B1704" t="s">
        <v>6</v>
      </c>
      <c r="C1704" s="2" t="s">
        <v>3352</v>
      </c>
      <c r="D1704" s="32"/>
      <c r="E1704" s="35" t="s">
        <v>2866</v>
      </c>
    </row>
    <row r="1705" spans="1:5" x14ac:dyDescent="0.2">
      <c r="A1705" s="34" t="str">
        <f>HYPERLINK("http://www.daganm.co.il/sku/CABLE-712EU","CABLE-712EU")</f>
        <v>CABLE-712EU</v>
      </c>
      <c r="B1705" t="s">
        <v>6</v>
      </c>
      <c r="C1705" s="2" t="s">
        <v>3587</v>
      </c>
      <c r="D1705" s="32"/>
      <c r="E1705" s="35" t="s">
        <v>3628</v>
      </c>
    </row>
    <row r="1706" spans="1:5" x14ac:dyDescent="0.2">
      <c r="A1706" s="34" t="str">
        <f>HYPERLINK("http://www.daganm.co.il/sku/CABLE-712BR","CABLE-712BR")</f>
        <v>CABLE-712BR</v>
      </c>
      <c r="B1706" t="s">
        <v>6</v>
      </c>
      <c r="C1706" s="2" t="s">
        <v>3588</v>
      </c>
      <c r="D1706" s="32"/>
      <c r="E1706" s="35" t="s">
        <v>3628</v>
      </c>
    </row>
    <row r="1707" spans="1:5" x14ac:dyDescent="0.2">
      <c r="A1707" s="34" t="str">
        <f>HYPERLINK("http://www.daganm.co.il/sku/CABLE-712US","CABLE-712US")</f>
        <v>CABLE-712US</v>
      </c>
      <c r="B1707" t="s">
        <v>6</v>
      </c>
      <c r="C1707" s="2" t="s">
        <v>1252</v>
      </c>
      <c r="D1707" s="32"/>
      <c r="E1707" s="35" t="s">
        <v>3628</v>
      </c>
    </row>
    <row r="1708" spans="1:5" x14ac:dyDescent="0.2">
      <c r="A1708" s="34" t="str">
        <f>HYPERLINK("http://www.daganm.co.il/sku/CABLE-712US/4","CABLE-712US/4")</f>
        <v>CABLE-712US/4</v>
      </c>
      <c r="B1708" t="s">
        <v>6</v>
      </c>
      <c r="C1708" s="2" t="s">
        <v>3589</v>
      </c>
      <c r="D1708" s="32"/>
      <c r="E1708" s="35" t="s">
        <v>3672</v>
      </c>
    </row>
    <row r="1709" spans="1:5" x14ac:dyDescent="0.2">
      <c r="A1709" s="34" t="str">
        <f>HYPERLINK("http://www.daganm.co.il/sku/CABLE-704BR","CABLE-704BR")</f>
        <v>CABLE-704BR</v>
      </c>
      <c r="B1709" t="s">
        <v>6</v>
      </c>
      <c r="C1709" s="2" t="s">
        <v>3893</v>
      </c>
      <c r="D1709" s="32"/>
      <c r="E1709" s="35" t="s">
        <v>2867</v>
      </c>
    </row>
    <row r="1710" spans="1:5" x14ac:dyDescent="0.2">
      <c r="A1710" s="34" t="str">
        <f>HYPERLINK("http://www.daganm.co.il/sku/CABLE-704US","CABLE-704US")</f>
        <v>CABLE-704US</v>
      </c>
      <c r="B1710" t="s">
        <v>6</v>
      </c>
      <c r="C1710" s="2" t="s">
        <v>3894</v>
      </c>
      <c r="D1710" s="32"/>
      <c r="E1710" s="35" t="s">
        <v>2867</v>
      </c>
    </row>
    <row r="1711" spans="1:5" ht="16.5" x14ac:dyDescent="0.25">
      <c r="B1711"/>
      <c r="C1711" s="31" t="s">
        <v>67</v>
      </c>
      <c r="D1711" s="32"/>
      <c r="E1711" s="35"/>
    </row>
    <row r="1712" spans="1:5" x14ac:dyDescent="0.2">
      <c r="B1712"/>
      <c r="C1712" s="33" t="s">
        <v>67</v>
      </c>
      <c r="D1712" s="32"/>
      <c r="E1712" s="35"/>
    </row>
    <row r="1713" spans="1:5" x14ac:dyDescent="0.2">
      <c r="A1713" s="34" t="str">
        <f>HYPERLINK("http://www.daganm.co.il/sku/LABEL10","LABEL10")</f>
        <v>LABEL10</v>
      </c>
      <c r="B1713" t="s">
        <v>1253</v>
      </c>
      <c r="C1713" s="2" t="s">
        <v>3353</v>
      </c>
      <c r="D1713" s="36"/>
      <c r="E1713" s="35" t="s">
        <v>3628</v>
      </c>
    </row>
    <row r="1714" spans="1:5" x14ac:dyDescent="0.2">
      <c r="A1714" s="34" t="str">
        <f>HYPERLINK("http://www.daganm.co.il/sku/LABEL10","LABEL20")</f>
        <v>LABEL20</v>
      </c>
      <c r="B1714" t="s">
        <v>1253</v>
      </c>
      <c r="C1714" s="2" t="s">
        <v>1254</v>
      </c>
      <c r="D1714" s="36"/>
      <c r="E1714" s="35" t="s">
        <v>3628</v>
      </c>
    </row>
    <row r="1715" spans="1:5" x14ac:dyDescent="0.2">
      <c r="A1715" s="34" t="str">
        <f>HYPERLINK("http://www.daganm.co.il/sku/LABEL10","LABEL30")</f>
        <v>LABEL30</v>
      </c>
      <c r="B1715" t="s">
        <v>1253</v>
      </c>
      <c r="C1715" s="2" t="s">
        <v>1255</v>
      </c>
      <c r="D1715" s="32"/>
      <c r="E1715" s="35" t="s">
        <v>3628</v>
      </c>
    </row>
    <row r="1716" spans="1:5" x14ac:dyDescent="0.2">
      <c r="A1716" s="34" t="str">
        <f>HYPERLINK("http://www.daganm.co.il/sku/SWB001-1.5","SWB001-1.5")</f>
        <v>SWB001-1.5</v>
      </c>
      <c r="B1716" t="s">
        <v>1256</v>
      </c>
      <c r="C1716" s="2" t="s">
        <v>1257</v>
      </c>
      <c r="D1716" s="32">
        <v>45442</v>
      </c>
      <c r="E1716" s="35" t="s">
        <v>2868</v>
      </c>
    </row>
    <row r="1717" spans="1:5" x14ac:dyDescent="0.2">
      <c r="A1717" s="34" t="str">
        <f>HYPERLINK("http://www.daganm.co.il/sku/SWB002-1.5","SWB002-1.5")</f>
        <v>SWB002-1.5</v>
      </c>
      <c r="B1717" t="s">
        <v>1256</v>
      </c>
      <c r="C1717" s="2" t="s">
        <v>1258</v>
      </c>
      <c r="D1717" s="32"/>
      <c r="E1717" s="35" t="s">
        <v>2869</v>
      </c>
    </row>
    <row r="1718" spans="1:5" x14ac:dyDescent="0.2">
      <c r="A1718" s="34" t="str">
        <f>HYPERLINK("http://www.daganm.co.il/sku/SWB005-1.5","SWB005-1.5")</f>
        <v>SWB005-1.5</v>
      </c>
      <c r="B1718" t="s">
        <v>1256</v>
      </c>
      <c r="C1718" s="2" t="s">
        <v>1259</v>
      </c>
      <c r="D1718" s="32"/>
      <c r="E1718" s="35" t="s">
        <v>2870</v>
      </c>
    </row>
    <row r="1719" spans="1:5" x14ac:dyDescent="0.2">
      <c r="A1719" s="34" t="str">
        <f>HYPERLINK("http://www.daganm.co.il/sku/SWB003-20","SWB003-20")</f>
        <v>SWB003-20</v>
      </c>
      <c r="B1719" t="s">
        <v>1260</v>
      </c>
      <c r="C1719" s="2" t="s">
        <v>1261</v>
      </c>
      <c r="D1719" s="32">
        <v>45442</v>
      </c>
      <c r="E1719" s="35" t="s">
        <v>2871</v>
      </c>
    </row>
    <row r="1720" spans="1:5" x14ac:dyDescent="0.2">
      <c r="A1720" s="34" t="str">
        <f>HYPERLINK("http://www.daganm.co.il/sku/SWB004-20","SWB004-20")</f>
        <v>SWB004-20</v>
      </c>
      <c r="B1720" t="s">
        <v>1260</v>
      </c>
      <c r="C1720" s="2" t="s">
        <v>1262</v>
      </c>
      <c r="D1720" s="32"/>
      <c r="E1720" s="35" t="s">
        <v>2872</v>
      </c>
    </row>
    <row r="1721" spans="1:5" x14ac:dyDescent="0.2">
      <c r="A1721" s="34" t="str">
        <f>HYPERLINK("http://www.daganm.co.il/sku/SWB006-20","SWB006-20")</f>
        <v>SWB006-20</v>
      </c>
      <c r="B1721" t="s">
        <v>1260</v>
      </c>
      <c r="C1721" s="2" t="s">
        <v>1263</v>
      </c>
      <c r="D1721" s="32"/>
      <c r="E1721" s="35" t="s">
        <v>2873</v>
      </c>
    </row>
    <row r="1722" spans="1:5" x14ac:dyDescent="0.2">
      <c r="A1722" s="34" t="str">
        <f>HYPERLINK("http://www.daganm.co.il/sku/SWB007-20","SWB007-20")</f>
        <v>SWB007-20</v>
      </c>
      <c r="B1722" t="s">
        <v>1260</v>
      </c>
      <c r="C1722" s="2" t="s">
        <v>1264</v>
      </c>
      <c r="D1722" s="32"/>
      <c r="E1722" s="35" t="s">
        <v>2874</v>
      </c>
    </row>
    <row r="1723" spans="1:5" x14ac:dyDescent="0.2">
      <c r="A1723" s="34" t="str">
        <f>HYPERLINK("http://www.daganm.co.il/sku/SWB101","SWB101")</f>
        <v>SWB101</v>
      </c>
      <c r="B1723" t="s">
        <v>6</v>
      </c>
      <c r="C1723" s="2" t="s">
        <v>1265</v>
      </c>
      <c r="D1723" s="32"/>
      <c r="E1723" s="35" t="s">
        <v>2875</v>
      </c>
    </row>
    <row r="1724" spans="1:5" x14ac:dyDescent="0.2">
      <c r="A1724" s="37" t="str">
        <f>HYPERLINK("http://www.daganm.co.il/sku/SWB71-6-10","SWB71-6-10")</f>
        <v>SWB71-6-10</v>
      </c>
      <c r="B1724" t="s">
        <v>1266</v>
      </c>
      <c r="C1724" s="2" t="s">
        <v>4165</v>
      </c>
      <c r="D1724" s="32"/>
      <c r="E1724" s="35" t="s">
        <v>4292</v>
      </c>
    </row>
    <row r="1725" spans="1:5" x14ac:dyDescent="0.2">
      <c r="A1725" s="37" t="str">
        <f>HYPERLINK("http://www.daganm.co.il/sku/SWB71-8-10","SWB71-8-10")</f>
        <v>SWB71-8-10</v>
      </c>
      <c r="B1725" t="s">
        <v>1266</v>
      </c>
      <c r="C1725" s="2" t="s">
        <v>4166</v>
      </c>
      <c r="D1725" s="32"/>
      <c r="E1725" s="32" t="s">
        <v>4293</v>
      </c>
    </row>
    <row r="1726" spans="1:5" x14ac:dyDescent="0.2">
      <c r="A1726" s="34" t="str">
        <f>HYPERLINK("http://www.daganm.co.il/sku/SWB71-15-10","SWB71-15-10")</f>
        <v>SWB71-15-10</v>
      </c>
      <c r="B1726" t="s">
        <v>1266</v>
      </c>
      <c r="C1726" s="2" t="s">
        <v>4167</v>
      </c>
      <c r="D1726" s="32"/>
      <c r="E1726" s="32" t="s">
        <v>4294</v>
      </c>
    </row>
    <row r="1727" spans="1:5" x14ac:dyDescent="0.2">
      <c r="A1727" s="34" t="str">
        <f>HYPERLINK("http://www.daganm.co.il/sku/SWB71-19-10","SWB71-19-10")</f>
        <v>SWB71-19-10</v>
      </c>
      <c r="B1727" t="s">
        <v>1266</v>
      </c>
      <c r="C1727" s="2" t="s">
        <v>4168</v>
      </c>
      <c r="D1727" s="32"/>
      <c r="E1727" s="35" t="s">
        <v>4295</v>
      </c>
    </row>
    <row r="1728" spans="1:5" x14ac:dyDescent="0.2">
      <c r="A1728" s="34" t="str">
        <f>HYPERLINK("http://www.daganm.co.il/sku/VLC01/5","VLC01/5-GR")</f>
        <v>VLC01/5-GR</v>
      </c>
      <c r="B1728" t="s">
        <v>4169</v>
      </c>
      <c r="C1728" s="2" t="s">
        <v>1268</v>
      </c>
      <c r="D1728" s="32"/>
      <c r="E1728" s="35" t="s">
        <v>2877</v>
      </c>
    </row>
    <row r="1729" spans="1:5" x14ac:dyDescent="0.2">
      <c r="A1729" s="34" t="str">
        <f>HYPERLINK("http://www.daganm.co.il/sku/VLC01/5","VLC01/5-BLK")</f>
        <v>VLC01/5-BLK</v>
      </c>
      <c r="B1729" t="s">
        <v>4169</v>
      </c>
      <c r="C1729" s="2" t="s">
        <v>1267</v>
      </c>
      <c r="D1729" s="32"/>
      <c r="E1729" s="35" t="s">
        <v>2876</v>
      </c>
    </row>
    <row r="1730" spans="1:5" x14ac:dyDescent="0.2">
      <c r="A1730" s="37" t="str">
        <f>HYPERLINK("http://www.daganm.co.il/sku/VLC01/25-BLK","VLC01/25-BLK")</f>
        <v>VLC01/25-BLK</v>
      </c>
      <c r="B1730" t="s">
        <v>4170</v>
      </c>
      <c r="C1730" s="2" t="s">
        <v>4171</v>
      </c>
      <c r="D1730" s="32"/>
      <c r="E1730" s="35" t="s">
        <v>4291</v>
      </c>
    </row>
    <row r="1731" spans="1:5" x14ac:dyDescent="0.2">
      <c r="A1731" s="34" t="str">
        <f>HYPERLINK("http://www.daganm.co.il/sku/VLCTIE","VLCTIE-BLK")</f>
        <v>VLCTIE-BLK</v>
      </c>
      <c r="B1731" t="s">
        <v>6</v>
      </c>
      <c r="C1731" s="2" t="s">
        <v>1269</v>
      </c>
      <c r="D1731" s="32"/>
      <c r="E1731" s="35" t="s">
        <v>2878</v>
      </c>
    </row>
    <row r="1732" spans="1:5" x14ac:dyDescent="0.2">
      <c r="A1732" s="34" t="str">
        <f>HYPERLINK("http://www.daganm.co.il/sku/VLCTIE","VLCTIE-BLU")</f>
        <v>VLCTIE-BLU</v>
      </c>
      <c r="B1732" t="s">
        <v>6</v>
      </c>
      <c r="C1732" s="2" t="s">
        <v>1270</v>
      </c>
      <c r="D1732" s="32"/>
      <c r="E1732" s="35" t="s">
        <v>2879</v>
      </c>
    </row>
    <row r="1733" spans="1:5" x14ac:dyDescent="0.2">
      <c r="A1733" s="34" t="str">
        <f>HYPERLINK("http://www.daganm.co.il/sku/VLCTIE","VLCTIE-GR")</f>
        <v>VLCTIE-GR</v>
      </c>
      <c r="B1733" t="s">
        <v>6</v>
      </c>
      <c r="C1733" s="2" t="s">
        <v>1271</v>
      </c>
      <c r="D1733" s="32"/>
      <c r="E1733" s="35" t="s">
        <v>2880</v>
      </c>
    </row>
    <row r="1734" spans="1:5" x14ac:dyDescent="0.2">
      <c r="A1734" s="34" t="str">
        <f>HYPERLINK("http://www.daganm.co.il/sku/VLCTIE","VLCTIE-RE")</f>
        <v>VLCTIE-RE</v>
      </c>
      <c r="B1734" t="s">
        <v>6</v>
      </c>
      <c r="C1734" s="2" t="s">
        <v>1272</v>
      </c>
      <c r="D1734" s="32"/>
      <c r="E1734" s="35" t="s">
        <v>2881</v>
      </c>
    </row>
    <row r="1735" spans="1:5" x14ac:dyDescent="0.2">
      <c r="A1735" s="34" t="str">
        <f>HYPERLINK("http://www.daganm.co.il/sku/VLCTIE","VLCTIE-WH")</f>
        <v>VLCTIE-WH</v>
      </c>
      <c r="B1735" t="s">
        <v>6</v>
      </c>
      <c r="C1735" s="2" t="s">
        <v>1273</v>
      </c>
      <c r="D1735" s="32"/>
      <c r="E1735" s="35" t="s">
        <v>2882</v>
      </c>
    </row>
    <row r="1736" spans="1:5" x14ac:dyDescent="0.2">
      <c r="A1736" s="34" t="str">
        <f>HYPERLINK("http://www.daganm.co.il/sku/VLCTIE","VLCTIE-YE")</f>
        <v>VLCTIE-YE</v>
      </c>
      <c r="B1736" t="s">
        <v>6</v>
      </c>
      <c r="C1736" s="2" t="s">
        <v>1274</v>
      </c>
      <c r="D1736" s="32"/>
      <c r="E1736" s="35" t="s">
        <v>2883</v>
      </c>
    </row>
    <row r="1737" spans="1:5" x14ac:dyDescent="0.2">
      <c r="A1737" s="34" t="str">
        <f>HYPERLINK("http://www.daganm.co.il/sku/ZIPPER10-1.1","ZIPPER10-1.1")</f>
        <v>ZIPPER10-1.1</v>
      </c>
      <c r="B1737" t="s">
        <v>6</v>
      </c>
      <c r="C1737" s="2" t="s">
        <v>3895</v>
      </c>
      <c r="D1737" s="32"/>
      <c r="E1737" s="35" t="s">
        <v>4040</v>
      </c>
    </row>
    <row r="1738" spans="1:5" x14ac:dyDescent="0.2">
      <c r="A1738" s="34" t="str">
        <f>HYPERLINK("http://www.daganm.co.il/sku/ZIPPER10-1.5","ZIPPER10-1.5")</f>
        <v>ZIPPER10-1.5</v>
      </c>
      <c r="B1738" t="s">
        <v>6</v>
      </c>
      <c r="C1738" s="2" t="s">
        <v>3896</v>
      </c>
      <c r="D1738" s="32"/>
      <c r="E1738" s="35" t="s">
        <v>4041</v>
      </c>
    </row>
    <row r="1739" spans="1:5" x14ac:dyDescent="0.2">
      <c r="A1739" s="34" t="str">
        <f>HYPERLINK("http://www.daganm.co.il/sku/NT-CT-100","NT-CT-100-BLK")</f>
        <v>NT-CT-100-BLK</v>
      </c>
      <c r="B1739" t="s">
        <v>1275</v>
      </c>
      <c r="C1739" s="2" t="s">
        <v>1276</v>
      </c>
      <c r="D1739" s="32" t="s">
        <v>2</v>
      </c>
      <c r="E1739" s="35" t="s">
        <v>3628</v>
      </c>
    </row>
    <row r="1740" spans="1:5" x14ac:dyDescent="0.2">
      <c r="A1740" s="34" t="str">
        <f>HYPERLINK("http://www.daganm.co.il/sku/NT-CT-100","NT-CT-100-WH")</f>
        <v>NT-CT-100-WH</v>
      </c>
      <c r="B1740" t="s">
        <v>1275</v>
      </c>
      <c r="C1740" s="2" t="s">
        <v>1277</v>
      </c>
      <c r="D1740" s="32" t="s">
        <v>2</v>
      </c>
      <c r="E1740" s="32" t="s">
        <v>3628</v>
      </c>
    </row>
    <row r="1741" spans="1:5" x14ac:dyDescent="0.2">
      <c r="A1741" s="34" t="str">
        <f>HYPERLINK("http://www.daganm.co.il/sku/NT-CT-150","NT-CT-150-BLK")</f>
        <v>NT-CT-150-BLK</v>
      </c>
      <c r="B1741" t="s">
        <v>1275</v>
      </c>
      <c r="C1741" s="2" t="s">
        <v>1278</v>
      </c>
      <c r="D1741" s="32" t="s">
        <v>2</v>
      </c>
      <c r="E1741" s="35" t="s">
        <v>3628</v>
      </c>
    </row>
    <row r="1742" spans="1:5" x14ac:dyDescent="0.2">
      <c r="A1742" s="34" t="str">
        <f>HYPERLINK("http://www.daganm.co.il/sku/NT-CT-150","NT-CT-150-WH")</f>
        <v>NT-CT-150-WH</v>
      </c>
      <c r="B1742" t="s">
        <v>1275</v>
      </c>
      <c r="C1742" s="2" t="s">
        <v>1279</v>
      </c>
      <c r="D1742" s="32" t="s">
        <v>2</v>
      </c>
      <c r="E1742" s="35" t="s">
        <v>3628</v>
      </c>
    </row>
    <row r="1743" spans="1:5" x14ac:dyDescent="0.2">
      <c r="A1743" s="34" t="str">
        <f>HYPERLINK("http://www.daganm.co.il/sku/NT-CT-200A","NT-CT-200A-BLK")</f>
        <v>NT-CT-200A-BLK</v>
      </c>
      <c r="B1743" t="s">
        <v>1275</v>
      </c>
      <c r="C1743" s="2" t="s">
        <v>1280</v>
      </c>
      <c r="D1743" s="32" t="s">
        <v>2</v>
      </c>
      <c r="E1743" s="35" t="s">
        <v>3628</v>
      </c>
    </row>
    <row r="1744" spans="1:5" x14ac:dyDescent="0.2">
      <c r="A1744" s="34" t="str">
        <f>HYPERLINK("http://www.daganm.co.il/sku/NT-CT-200A","NT-CT-200A-WH")</f>
        <v>NT-CT-200A-WH</v>
      </c>
      <c r="B1744" t="s">
        <v>1275</v>
      </c>
      <c r="C1744" s="2" t="s">
        <v>1281</v>
      </c>
      <c r="D1744" s="32" t="s">
        <v>2</v>
      </c>
      <c r="E1744" s="35" t="s">
        <v>3628</v>
      </c>
    </row>
    <row r="1745" spans="1:5" x14ac:dyDescent="0.2">
      <c r="A1745" s="34" t="str">
        <f>HYPERLINK("http://www.daganm.co.il/sku/NT-CT-292-BLK","NT-CT-292-BLK")</f>
        <v>NT-CT-292-BLK</v>
      </c>
      <c r="B1745" t="s">
        <v>1275</v>
      </c>
      <c r="C1745" s="2" t="s">
        <v>1282</v>
      </c>
      <c r="D1745" s="32" t="s">
        <v>2</v>
      </c>
      <c r="E1745" s="35" t="s">
        <v>3628</v>
      </c>
    </row>
    <row r="1746" spans="1:5" x14ac:dyDescent="0.2">
      <c r="A1746" s="34" t="str">
        <f>HYPERLINK("http://www.daganm.co.il/sku/NT-CT-292-WH","NT-CT-292-WH")</f>
        <v>NT-CT-292-WH</v>
      </c>
      <c r="B1746" t="s">
        <v>1275</v>
      </c>
      <c r="C1746" s="2" t="s">
        <v>1283</v>
      </c>
      <c r="D1746" s="32" t="s">
        <v>2</v>
      </c>
      <c r="E1746" s="35" t="s">
        <v>3628</v>
      </c>
    </row>
    <row r="1747" spans="1:5" x14ac:dyDescent="0.2">
      <c r="A1747" s="34" t="str">
        <f>HYPERLINK("http://www.daganm.co.il/sku/NT-MCT-100","NT-MCT-100")</f>
        <v>NT-MCT-100</v>
      </c>
      <c r="B1747" t="s">
        <v>1275</v>
      </c>
      <c r="C1747" s="2" t="s">
        <v>1284</v>
      </c>
      <c r="D1747" s="32" t="s">
        <v>2</v>
      </c>
      <c r="E1747" s="35" t="s">
        <v>3628</v>
      </c>
    </row>
    <row r="1748" spans="1:5" x14ac:dyDescent="0.2">
      <c r="A1748" s="34" t="str">
        <f>HYPERLINK("http://www.daganm.co.il/sku/NT-MCT-200","NT-MCT-200")</f>
        <v>NT-MCT-200</v>
      </c>
      <c r="B1748" t="s">
        <v>1275</v>
      </c>
      <c r="C1748" s="2" t="s">
        <v>1285</v>
      </c>
      <c r="D1748" s="32" t="s">
        <v>2</v>
      </c>
      <c r="E1748" s="35" t="s">
        <v>3628</v>
      </c>
    </row>
    <row r="1749" spans="1:5" ht="16.5" x14ac:dyDescent="0.25">
      <c r="B1749"/>
      <c r="C1749" s="31" t="s">
        <v>68</v>
      </c>
      <c r="D1749" s="32"/>
      <c r="E1749" s="35"/>
    </row>
    <row r="1750" spans="1:5" x14ac:dyDescent="0.2">
      <c r="B1750"/>
      <c r="C1750" s="33" t="s">
        <v>69</v>
      </c>
      <c r="D1750" s="32"/>
      <c r="E1750" s="35"/>
    </row>
    <row r="1751" spans="1:5" x14ac:dyDescent="0.2">
      <c r="A1751" s="34" t="str">
        <f>HYPERLINK("http://www.daganm.co.il/sku/CBL625-0.5","CBL625-0.5")</f>
        <v>CBL625-0.5</v>
      </c>
      <c r="B1751" t="s">
        <v>6</v>
      </c>
      <c r="C1751" s="2" t="s">
        <v>1286</v>
      </c>
      <c r="D1751" s="32"/>
      <c r="E1751" s="35" t="s">
        <v>2884</v>
      </c>
    </row>
    <row r="1752" spans="1:5" x14ac:dyDescent="0.2">
      <c r="A1752" s="34" t="str">
        <f>HYPERLINK("http://www.daganm.co.il/sku/CBL625-1","CBL625-1")</f>
        <v>CBL625-1</v>
      </c>
      <c r="B1752" t="s">
        <v>6</v>
      </c>
      <c r="C1752" s="2" t="s">
        <v>1287</v>
      </c>
      <c r="D1752" s="32"/>
      <c r="E1752" s="35" t="s">
        <v>2885</v>
      </c>
    </row>
    <row r="1753" spans="1:5" x14ac:dyDescent="0.2">
      <c r="A1753" s="34" t="str">
        <f>HYPERLINK("http://www.daganm.co.il/sku/CBL625-1.5","CBL625-1.5")</f>
        <v>CBL625-1.5</v>
      </c>
      <c r="B1753" t="s">
        <v>6</v>
      </c>
      <c r="C1753" s="2" t="s">
        <v>1288</v>
      </c>
      <c r="D1753" s="32"/>
      <c r="E1753" s="35" t="s">
        <v>2886</v>
      </c>
    </row>
    <row r="1754" spans="1:5" x14ac:dyDescent="0.2">
      <c r="A1754" s="34" t="str">
        <f>HYPERLINK("http://www.daganm.co.il/sku/CBL625-2","CBL625-2")</f>
        <v>CBL625-2</v>
      </c>
      <c r="B1754" t="s">
        <v>6</v>
      </c>
      <c r="C1754" s="2" t="s">
        <v>1289</v>
      </c>
      <c r="D1754" s="32"/>
      <c r="E1754" s="32" t="s">
        <v>2887</v>
      </c>
    </row>
    <row r="1755" spans="1:5" x14ac:dyDescent="0.2">
      <c r="A1755" s="34" t="str">
        <f>HYPERLINK("http://www.daganm.co.il/sku/CBL625-3","CBL625-3")</f>
        <v>CBL625-3</v>
      </c>
      <c r="B1755" t="s">
        <v>6</v>
      </c>
      <c r="C1755" s="2" t="s">
        <v>1290</v>
      </c>
      <c r="D1755" s="32"/>
      <c r="E1755" s="32" t="s">
        <v>2888</v>
      </c>
    </row>
    <row r="1756" spans="1:5" x14ac:dyDescent="0.2">
      <c r="A1756" s="34" t="str">
        <f>HYPERLINK("http://www.daganm.co.il/sku/CBL625-5","CBL625-5")</f>
        <v>CBL625-5</v>
      </c>
      <c r="B1756" t="s">
        <v>6</v>
      </c>
      <c r="C1756" s="2" t="s">
        <v>1291</v>
      </c>
      <c r="D1756" s="32"/>
      <c r="E1756" s="35" t="s">
        <v>2889</v>
      </c>
    </row>
    <row r="1757" spans="1:5" x14ac:dyDescent="0.2">
      <c r="A1757" s="34" t="str">
        <f>HYPERLINK("http://www.daganm.co.il/sku/CBL625-7.5","CBL625-7.5")</f>
        <v>CBL625-7.5</v>
      </c>
      <c r="B1757" t="s">
        <v>6</v>
      </c>
      <c r="C1757" s="2" t="s">
        <v>1292</v>
      </c>
      <c r="D1757" s="32"/>
      <c r="E1757" s="35" t="s">
        <v>2890</v>
      </c>
    </row>
    <row r="1758" spans="1:5" x14ac:dyDescent="0.2">
      <c r="A1758" s="34" t="str">
        <f>HYPERLINK("http://www.daganm.co.il/sku/CBL625-10","CBL625-10")</f>
        <v>CBL625-10</v>
      </c>
      <c r="B1758" t="s">
        <v>6</v>
      </c>
      <c r="C1758" s="2" t="s">
        <v>1293</v>
      </c>
      <c r="D1758" s="32"/>
      <c r="E1758" s="35" t="s">
        <v>2891</v>
      </c>
    </row>
    <row r="1759" spans="1:5" x14ac:dyDescent="0.2">
      <c r="A1759" s="34" t="str">
        <f>HYPERLINK("http://www.daganm.co.il/sku/CBL625-15","CBL625-15")</f>
        <v>CBL625-15</v>
      </c>
      <c r="B1759" t="s">
        <v>6</v>
      </c>
      <c r="C1759" s="2" t="s">
        <v>1294</v>
      </c>
      <c r="D1759" s="32"/>
      <c r="E1759" s="35" t="s">
        <v>2892</v>
      </c>
    </row>
    <row r="1760" spans="1:5" x14ac:dyDescent="0.2">
      <c r="A1760" s="34" t="str">
        <f>HYPERLINK("http://www.daganm.co.il/sku/CBL625-20","CBL625-20")</f>
        <v>CBL625-20</v>
      </c>
      <c r="B1760" t="s">
        <v>6</v>
      </c>
      <c r="C1760" s="2" t="s">
        <v>1295</v>
      </c>
      <c r="D1760" s="32"/>
      <c r="E1760" s="35" t="s">
        <v>2893</v>
      </c>
    </row>
    <row r="1761" spans="1:5" x14ac:dyDescent="0.2">
      <c r="A1761" s="34" t="str">
        <f>HYPERLINK("http://www.daganm.co.il/sku/CBL625-25","CBL625-25")</f>
        <v>CBL625-25</v>
      </c>
      <c r="B1761" t="s">
        <v>6</v>
      </c>
      <c r="C1761" s="2" t="s">
        <v>1296</v>
      </c>
      <c r="D1761" s="32"/>
      <c r="E1761" s="35" t="s">
        <v>2894</v>
      </c>
    </row>
    <row r="1762" spans="1:5" x14ac:dyDescent="0.2">
      <c r="A1762" s="34" t="str">
        <f>HYPERLINK("http://www.daganm.co.il/sku/CBL625-30","CBL625-30")</f>
        <v>CBL625-30</v>
      </c>
      <c r="B1762" t="s">
        <v>6</v>
      </c>
      <c r="C1762" s="2" t="s">
        <v>1297</v>
      </c>
      <c r="D1762" s="32"/>
      <c r="E1762" s="35" t="s">
        <v>2895</v>
      </c>
    </row>
    <row r="1763" spans="1:5" x14ac:dyDescent="0.2">
      <c r="A1763" s="34" t="str">
        <f>HYPERLINK("http://www.daganm.co.il/sku/CABLE-624-1.8","CABLE-624-1.8")</f>
        <v>CABLE-624-1.8</v>
      </c>
      <c r="B1763" t="s">
        <v>6</v>
      </c>
      <c r="C1763" s="2" t="s">
        <v>1298</v>
      </c>
      <c r="D1763" s="32"/>
      <c r="E1763" s="35" t="s">
        <v>2896</v>
      </c>
    </row>
    <row r="1764" spans="1:5" x14ac:dyDescent="0.2">
      <c r="B1764"/>
      <c r="C1764" s="33" t="s">
        <v>70</v>
      </c>
      <c r="D1764" s="32"/>
      <c r="E1764" s="35"/>
    </row>
    <row r="1765" spans="1:5" x14ac:dyDescent="0.2">
      <c r="A1765" s="34" t="str">
        <f>HYPERLINK("http://www.daganm.co.il/sku/AC-062","AC-062")</f>
        <v>AC-062</v>
      </c>
      <c r="B1765" t="s">
        <v>6</v>
      </c>
      <c r="C1765" s="2" t="s">
        <v>1299</v>
      </c>
      <c r="D1765" s="32"/>
      <c r="E1765" s="35" t="s">
        <v>2897</v>
      </c>
    </row>
    <row r="1766" spans="1:5" x14ac:dyDescent="0.2">
      <c r="A1766" s="34" t="str">
        <f>HYPERLINK("http://www.daganm.co.il/sku/AC-063","AC-063")</f>
        <v>AC-063</v>
      </c>
      <c r="B1766" t="s">
        <v>6</v>
      </c>
      <c r="C1766" s="2" t="s">
        <v>1300</v>
      </c>
      <c r="D1766" s="32"/>
      <c r="E1766" s="35" t="s">
        <v>2898</v>
      </c>
    </row>
    <row r="1767" spans="1:5" x14ac:dyDescent="0.2">
      <c r="A1767" s="34" t="str">
        <f>HYPERLINK("http://www.daganm.co.il/sku/OPT-90PLUG","OPT-90PLUG")</f>
        <v>OPT-90PLUG</v>
      </c>
      <c r="B1767" t="s">
        <v>6</v>
      </c>
      <c r="C1767" s="2" t="s">
        <v>1301</v>
      </c>
      <c r="D1767" s="32"/>
      <c r="E1767" s="35" t="s">
        <v>2899</v>
      </c>
    </row>
    <row r="1768" spans="1:5" x14ac:dyDescent="0.2">
      <c r="A1768" s="34" t="str">
        <f>HYPERLINK("http://www.daganm.co.il/sku/CONV-AUDIO17","CONV-AUDIO17")</f>
        <v>CONV-AUDIO17</v>
      </c>
      <c r="B1768" t="s">
        <v>6</v>
      </c>
      <c r="C1768" s="2" t="s">
        <v>3354</v>
      </c>
      <c r="D1768" s="32"/>
      <c r="E1768" s="35" t="s">
        <v>3492</v>
      </c>
    </row>
    <row r="1769" spans="1:5" x14ac:dyDescent="0.2">
      <c r="A1769" s="34" t="str">
        <f>HYPERLINK("http://www.daganm.co.il/sku/CONV-AUDIO1","CONV-AUDIO1")</f>
        <v>CONV-AUDIO1</v>
      </c>
      <c r="B1769" t="s">
        <v>6</v>
      </c>
      <c r="C1769" s="2" t="s">
        <v>3355</v>
      </c>
      <c r="D1769" s="32"/>
      <c r="E1769" s="35" t="s">
        <v>2900</v>
      </c>
    </row>
    <row r="1770" spans="1:5" x14ac:dyDescent="0.2">
      <c r="A1770" s="34" t="str">
        <f>HYPERLINK("http://www.daganm.co.il/sku/CONV-AUDIO3","CONV-AUDIO3")</f>
        <v>CONV-AUDIO3</v>
      </c>
      <c r="B1770" t="s">
        <v>6</v>
      </c>
      <c r="C1770" s="2" t="s">
        <v>1302</v>
      </c>
      <c r="D1770" s="32"/>
      <c r="E1770" s="35" t="s">
        <v>2901</v>
      </c>
    </row>
    <row r="1771" spans="1:5" x14ac:dyDescent="0.2">
      <c r="A1771" s="34" t="str">
        <f>HYPERLINK("http://www.daganm.co.il/sku/CONV-AUDIO2","CONV-AUDIO2")</f>
        <v>CONV-AUDIO2</v>
      </c>
      <c r="B1771" t="s">
        <v>6</v>
      </c>
      <c r="C1771" s="2" t="s">
        <v>4172</v>
      </c>
      <c r="D1771" s="32"/>
      <c r="E1771" s="35" t="s">
        <v>2902</v>
      </c>
    </row>
    <row r="1772" spans="1:5" x14ac:dyDescent="0.2">
      <c r="A1772" s="34" t="str">
        <f>HYPERLINK("http://www.daganm.co.il/sku/OPTCOAX3","OPTCOAX3")</f>
        <v>OPTCOAX3</v>
      </c>
      <c r="B1772" t="s">
        <v>6</v>
      </c>
      <c r="C1772" s="2" t="s">
        <v>1303</v>
      </c>
      <c r="D1772" s="32"/>
      <c r="E1772" s="35" t="s">
        <v>2903</v>
      </c>
    </row>
    <row r="1773" spans="1:5" x14ac:dyDescent="0.2">
      <c r="A1773" s="34" t="str">
        <f>HYPERLINK("http://www.daganm.co.il/sku/HQSSOPTSPL1","HQSSOPTSPL1")</f>
        <v>HQSSOPTSPL1</v>
      </c>
      <c r="B1773" t="s">
        <v>6</v>
      </c>
      <c r="C1773" s="2" t="s">
        <v>1304</v>
      </c>
      <c r="D1773" s="32"/>
      <c r="E1773" s="35" t="s">
        <v>2904</v>
      </c>
    </row>
    <row r="1774" spans="1:5" x14ac:dyDescent="0.2">
      <c r="A1774" s="34" t="str">
        <f>HYPERLINK("http://www.daganm.co.il/sku/HQSSOPTSPL2","HQSSOPTSPL2")</f>
        <v>HQSSOPTSPL2</v>
      </c>
      <c r="B1774" t="s">
        <v>6</v>
      </c>
      <c r="C1774" s="2" t="s">
        <v>1305</v>
      </c>
      <c r="D1774" s="32"/>
      <c r="E1774" s="35" t="s">
        <v>2905</v>
      </c>
    </row>
    <row r="1775" spans="1:5" x14ac:dyDescent="0.2">
      <c r="A1775" s="34" t="str">
        <f>HYPERLINK("http://www.daganm.co.il/sku/HQSSOPTSW1","HQSSOPTSW1")</f>
        <v>HQSSOPTSW1</v>
      </c>
      <c r="B1775" t="s">
        <v>6</v>
      </c>
      <c r="C1775" s="2" t="s">
        <v>1306</v>
      </c>
      <c r="D1775" s="32"/>
      <c r="E1775" s="35" t="s">
        <v>2906</v>
      </c>
    </row>
    <row r="1776" spans="1:5" x14ac:dyDescent="0.2">
      <c r="A1776" s="34" t="str">
        <f>HYPERLINK("http://www.daganm.co.il/sku/OPTSPL1-3","OPTSPL1-3")</f>
        <v>OPTSPL1-3</v>
      </c>
      <c r="B1776" t="s">
        <v>6</v>
      </c>
      <c r="C1776" s="2" t="s">
        <v>1307</v>
      </c>
      <c r="D1776" s="32"/>
      <c r="E1776" s="32" t="s">
        <v>2907</v>
      </c>
    </row>
    <row r="1777" spans="1:5" x14ac:dyDescent="0.2">
      <c r="A1777" s="34" t="str">
        <f>HYPERLINK("http://www.daganm.co.il/sku/OPTSW3-1","OPTSW3-1")</f>
        <v>OPTSW3-1</v>
      </c>
      <c r="B1777" t="s">
        <v>6</v>
      </c>
      <c r="C1777" s="2" t="s">
        <v>1308</v>
      </c>
      <c r="D1777" s="32"/>
      <c r="E1777" s="35" t="s">
        <v>2908</v>
      </c>
    </row>
    <row r="1778" spans="1:5" ht="16.5" x14ac:dyDescent="0.25">
      <c r="B1778"/>
      <c r="C1778" s="31" t="s">
        <v>71</v>
      </c>
      <c r="D1778" s="32"/>
      <c r="E1778" s="35"/>
    </row>
    <row r="1779" spans="1:5" x14ac:dyDescent="0.2">
      <c r="B1779"/>
      <c r="C1779" s="33" t="s">
        <v>72</v>
      </c>
      <c r="D1779" s="32"/>
      <c r="E1779" s="35"/>
    </row>
    <row r="1780" spans="1:5" x14ac:dyDescent="0.2">
      <c r="A1780" s="34" t="str">
        <f>HYPERLINK("http://www.daganm.co.il/sku/CABLE-404-0.5","CABLE-404-0.5")</f>
        <v>CABLE-404-0.5</v>
      </c>
      <c r="B1780" t="s">
        <v>6</v>
      </c>
      <c r="C1780" s="2" t="s">
        <v>4173</v>
      </c>
      <c r="D1780" s="32"/>
      <c r="E1780" s="35" t="s">
        <v>2909</v>
      </c>
    </row>
    <row r="1781" spans="1:5" x14ac:dyDescent="0.2">
      <c r="A1781" s="34" t="str">
        <f>HYPERLINK("http://www.daganm.co.il/sku/CABLE-404","CABLE-404")</f>
        <v>CABLE-404</v>
      </c>
      <c r="B1781" t="s">
        <v>6</v>
      </c>
      <c r="C1781" s="2" t="s">
        <v>4174</v>
      </c>
      <c r="D1781" s="32"/>
      <c r="E1781" s="35" t="s">
        <v>2910</v>
      </c>
    </row>
    <row r="1782" spans="1:5" x14ac:dyDescent="0.2">
      <c r="A1782" s="34" t="str">
        <f>HYPERLINK("http://www.daganm.co.il/sku/CABLE-404/1.8","CABLE-404/1.8")</f>
        <v>CABLE-404/1.8</v>
      </c>
      <c r="B1782" t="s">
        <v>6</v>
      </c>
      <c r="C1782" s="2" t="s">
        <v>4175</v>
      </c>
      <c r="D1782" s="32"/>
      <c r="E1782" s="35" t="s">
        <v>2911</v>
      </c>
    </row>
    <row r="1783" spans="1:5" x14ac:dyDescent="0.2">
      <c r="A1783" s="34" t="str">
        <f>HYPERLINK("http://www.daganm.co.il/sku/CABLE-404/3","CABLE-404/3")</f>
        <v>CABLE-404/3</v>
      </c>
      <c r="B1783" t="s">
        <v>6</v>
      </c>
      <c r="C1783" s="2" t="s">
        <v>4176</v>
      </c>
      <c r="D1783" s="32">
        <v>45442</v>
      </c>
      <c r="E1783" s="35" t="s">
        <v>2912</v>
      </c>
    </row>
    <row r="1784" spans="1:5" x14ac:dyDescent="0.2">
      <c r="A1784" s="34" t="str">
        <f>HYPERLINK("http://www.daganm.co.il/sku/CABLE-404S/1","CABLE-404S/1")</f>
        <v>CABLE-404S/1</v>
      </c>
      <c r="B1784" t="s">
        <v>6</v>
      </c>
      <c r="C1784" s="2" t="s">
        <v>1309</v>
      </c>
      <c r="D1784" s="32"/>
      <c r="E1784" s="35" t="s">
        <v>2913</v>
      </c>
    </row>
    <row r="1785" spans="1:5" x14ac:dyDescent="0.2">
      <c r="A1785" s="34" t="str">
        <f>HYPERLINK("http://www.daganm.co.il/sku/CABLE-404S/1.8","CABLE-404S/1.8")</f>
        <v>CABLE-404S/1.8</v>
      </c>
      <c r="B1785" t="s">
        <v>6</v>
      </c>
      <c r="C1785" s="2" t="s">
        <v>1310</v>
      </c>
      <c r="D1785" s="32"/>
      <c r="E1785" s="35" t="s">
        <v>2914</v>
      </c>
    </row>
    <row r="1786" spans="1:5" x14ac:dyDescent="0.2">
      <c r="A1786" s="34" t="str">
        <f>HYPERLINK("http://www.daganm.co.il/sku/CABLE-404S/3","CABLE-404S/3")</f>
        <v>CABLE-404S/3</v>
      </c>
      <c r="B1786" t="s">
        <v>6</v>
      </c>
      <c r="C1786" s="2" t="s">
        <v>1311</v>
      </c>
      <c r="D1786" s="32"/>
      <c r="E1786" s="35" t="s">
        <v>2915</v>
      </c>
    </row>
    <row r="1787" spans="1:5" x14ac:dyDescent="0.2">
      <c r="A1787" s="34" t="str">
        <f>HYPERLINK("http://www.daganm.co.il/sku/CABLE-404S/5","CABLE-404S/5")</f>
        <v>CABLE-404S/5</v>
      </c>
      <c r="B1787" t="s">
        <v>6</v>
      </c>
      <c r="C1787" s="2" t="s">
        <v>1312</v>
      </c>
      <c r="D1787" s="32"/>
      <c r="E1787" s="35" t="s">
        <v>2916</v>
      </c>
    </row>
    <row r="1788" spans="1:5" x14ac:dyDescent="0.2">
      <c r="A1788" s="34" t="str">
        <f>HYPERLINK("http://www.daganm.co.il/sku/CABLE-404S/7.5","CABLE-404S/7.5")</f>
        <v>CABLE-404S/7.5</v>
      </c>
      <c r="B1788" t="s">
        <v>6</v>
      </c>
      <c r="C1788" s="2" t="s">
        <v>1313</v>
      </c>
      <c r="D1788" s="32"/>
      <c r="E1788" s="35" t="s">
        <v>2917</v>
      </c>
    </row>
    <row r="1789" spans="1:5" x14ac:dyDescent="0.2">
      <c r="A1789" s="34" t="str">
        <f>HYPERLINK("http://www.daganm.co.il/sku/CABLE-404S/10","CABLE-404S/10")</f>
        <v>CABLE-404S/10</v>
      </c>
      <c r="B1789" t="s">
        <v>6</v>
      </c>
      <c r="C1789" s="2" t="s">
        <v>1314</v>
      </c>
      <c r="D1789" s="32"/>
      <c r="E1789" s="35" t="s">
        <v>2918</v>
      </c>
    </row>
    <row r="1790" spans="1:5" x14ac:dyDescent="0.2">
      <c r="A1790" s="34" t="str">
        <f>HYPERLINK("http://www.daganm.co.il/sku/CABLE-404S/15","CABLE-404S/15")</f>
        <v>CABLE-404S/15</v>
      </c>
      <c r="B1790" t="s">
        <v>6</v>
      </c>
      <c r="C1790" s="2" t="s">
        <v>1315</v>
      </c>
      <c r="D1790" s="32"/>
      <c r="E1790" s="35" t="s">
        <v>2919</v>
      </c>
    </row>
    <row r="1791" spans="1:5" x14ac:dyDescent="0.2">
      <c r="A1791" s="34" t="str">
        <f>HYPERLINK("http://www.daganm.co.il/sku/CABLE-404T/1","CABLE-404T/1")</f>
        <v>CABLE-404T/1</v>
      </c>
      <c r="B1791" t="s">
        <v>6</v>
      </c>
      <c r="C1791" s="2" t="s">
        <v>1316</v>
      </c>
      <c r="D1791" s="32"/>
      <c r="E1791" s="35" t="s">
        <v>2920</v>
      </c>
    </row>
    <row r="1792" spans="1:5" x14ac:dyDescent="0.2">
      <c r="A1792" s="34" t="str">
        <f>HYPERLINK("http://www.daganm.co.il/sku/CABLE-404T/1.8","CABLE-404T/1.8")</f>
        <v>CABLE-404T/1.8</v>
      </c>
      <c r="B1792" t="s">
        <v>6</v>
      </c>
      <c r="C1792" s="2" t="s">
        <v>1317</v>
      </c>
      <c r="D1792" s="32"/>
      <c r="E1792" s="35" t="s">
        <v>2921</v>
      </c>
    </row>
    <row r="1793" spans="1:5" x14ac:dyDescent="0.2">
      <c r="A1793" s="34" t="str">
        <f>HYPERLINK("http://www.daganm.co.il/sku/CABLE-404T/3","CABLE-404T/3")</f>
        <v>CABLE-404T/3</v>
      </c>
      <c r="B1793" t="s">
        <v>6</v>
      </c>
      <c r="C1793" s="2" t="s">
        <v>1318</v>
      </c>
      <c r="D1793" s="32"/>
      <c r="E1793" s="35" t="s">
        <v>2922</v>
      </c>
    </row>
    <row r="1794" spans="1:5" x14ac:dyDescent="0.2">
      <c r="A1794" s="34" t="str">
        <f>HYPERLINK("http://www.daganm.co.il/sku/CABLE-404T/5","CABLE-404T/5")</f>
        <v>CABLE-404T/5</v>
      </c>
      <c r="B1794" t="s">
        <v>6</v>
      </c>
      <c r="C1794" s="2" t="s">
        <v>1319</v>
      </c>
      <c r="D1794" s="32"/>
      <c r="E1794" s="35" t="s">
        <v>2923</v>
      </c>
    </row>
    <row r="1795" spans="1:5" x14ac:dyDescent="0.2">
      <c r="A1795" s="34" t="str">
        <f>HYPERLINK("http://www.daganm.co.il/sku/CABLE-404T/10","CABLE-404T/10")</f>
        <v>CABLE-404T/10</v>
      </c>
      <c r="B1795" t="s">
        <v>6</v>
      </c>
      <c r="C1795" s="2" t="s">
        <v>1320</v>
      </c>
      <c r="D1795" s="32"/>
      <c r="E1795" s="35" t="s">
        <v>2924</v>
      </c>
    </row>
    <row r="1796" spans="1:5" x14ac:dyDescent="0.2">
      <c r="A1796" s="34" t="str">
        <f>HYPERLINK("http://www.daganm.co.il/sku/CABLE-404T/15","CABLE-404T/15")</f>
        <v>CABLE-404T/15</v>
      </c>
      <c r="B1796" t="s">
        <v>6</v>
      </c>
      <c r="C1796" s="2" t="s">
        <v>1321</v>
      </c>
      <c r="D1796" s="32"/>
      <c r="E1796" s="32" t="s">
        <v>2925</v>
      </c>
    </row>
    <row r="1797" spans="1:5" x14ac:dyDescent="0.2">
      <c r="A1797" s="34" t="str">
        <f>HYPERLINK("http://www.daganm.co.il/sku/CABLE-404T/20","CABLE-404T/20")</f>
        <v>CABLE-404T/20</v>
      </c>
      <c r="B1797" t="s">
        <v>6</v>
      </c>
      <c r="C1797" s="2" t="s">
        <v>1322</v>
      </c>
      <c r="D1797" s="32"/>
      <c r="E1797" s="35" t="s">
        <v>2926</v>
      </c>
    </row>
    <row r="1798" spans="1:5" x14ac:dyDescent="0.2">
      <c r="A1798" s="34" t="str">
        <f>HYPERLINK("http://www.daganm.co.il/sku/CABLE-404SP","CABLE-404SP")</f>
        <v>CABLE-404SP</v>
      </c>
      <c r="B1798" t="s">
        <v>6</v>
      </c>
      <c r="C1798" s="2" t="s">
        <v>1323</v>
      </c>
      <c r="D1798" s="32"/>
      <c r="E1798" s="35" t="s">
        <v>2927</v>
      </c>
    </row>
    <row r="1799" spans="1:5" x14ac:dyDescent="0.2">
      <c r="A1799" s="34" t="str">
        <f>HYPERLINK("http://www.daganm.co.il/sku/CABLE-404SP/2","CABLE-404SP/2")</f>
        <v>CABLE-404SP/2</v>
      </c>
      <c r="B1799" t="s">
        <v>6</v>
      </c>
      <c r="C1799" s="2" t="s">
        <v>1324</v>
      </c>
      <c r="D1799" s="32"/>
      <c r="E1799" s="35" t="s">
        <v>2928</v>
      </c>
    </row>
    <row r="1800" spans="1:5" x14ac:dyDescent="0.2">
      <c r="B1800"/>
      <c r="C1800" s="33" t="s">
        <v>73</v>
      </c>
      <c r="D1800" s="32"/>
      <c r="E1800" s="35"/>
    </row>
    <row r="1801" spans="1:5" x14ac:dyDescent="0.2">
      <c r="A1801" s="34" t="str">
        <f>HYPERLINK("http://www.daganm.co.il/sku/CABLE-423/0.5","CABLE-423/0.5")</f>
        <v>CABLE-423/0.5</v>
      </c>
      <c r="B1801" t="s">
        <v>6</v>
      </c>
      <c r="C1801" s="2" t="s">
        <v>3356</v>
      </c>
      <c r="D1801" s="32"/>
      <c r="E1801" s="35" t="s">
        <v>2929</v>
      </c>
    </row>
    <row r="1802" spans="1:5" x14ac:dyDescent="0.2">
      <c r="A1802" s="34" t="str">
        <f>HYPERLINK("http://www.daganm.co.il/sku/CABLE-423/1","CABLE-423/1")</f>
        <v>CABLE-423/1</v>
      </c>
      <c r="B1802" t="s">
        <v>6</v>
      </c>
      <c r="C1802" s="2" t="s">
        <v>3357</v>
      </c>
      <c r="D1802" s="32"/>
      <c r="E1802" s="35" t="s">
        <v>2930</v>
      </c>
    </row>
    <row r="1803" spans="1:5" x14ac:dyDescent="0.2">
      <c r="A1803" s="34" t="str">
        <f>HYPERLINK("http://www.daganm.co.il/sku/CABLE-423/1.8","CABLE-423/1.8")</f>
        <v>CABLE-423/1.8</v>
      </c>
      <c r="B1803" t="s">
        <v>6</v>
      </c>
      <c r="C1803" s="2" t="s">
        <v>3358</v>
      </c>
      <c r="D1803" s="36"/>
      <c r="E1803" s="35" t="s">
        <v>2931</v>
      </c>
    </row>
    <row r="1804" spans="1:5" x14ac:dyDescent="0.2">
      <c r="A1804" s="34" t="str">
        <f>HYPERLINK("http://www.daganm.co.il/sku/CABLE-423/3","CABLE-423/3")</f>
        <v>CABLE-423/3</v>
      </c>
      <c r="B1804" t="s">
        <v>6</v>
      </c>
      <c r="C1804" s="2" t="s">
        <v>3359</v>
      </c>
      <c r="D1804" s="32"/>
      <c r="E1804" s="35" t="s">
        <v>2932</v>
      </c>
    </row>
    <row r="1805" spans="1:5" x14ac:dyDescent="0.2">
      <c r="A1805" s="34" t="str">
        <f>HYPERLINK("http://www.daganm.co.il/sku/CABLE-423/5","CABLE-423/5")</f>
        <v>CABLE-423/5</v>
      </c>
      <c r="B1805" t="s">
        <v>6</v>
      </c>
      <c r="C1805" s="2" t="s">
        <v>1325</v>
      </c>
      <c r="D1805" s="32"/>
      <c r="E1805" s="35" t="s">
        <v>2933</v>
      </c>
    </row>
    <row r="1806" spans="1:5" x14ac:dyDescent="0.2">
      <c r="A1806" s="34" t="str">
        <f>HYPERLINK("http://www.daganm.co.il/sku/CABLE-423/10","CABLE-423/10")</f>
        <v>CABLE-423/10</v>
      </c>
      <c r="B1806" t="s">
        <v>6</v>
      </c>
      <c r="C1806" s="2" t="s">
        <v>1326</v>
      </c>
      <c r="D1806" s="32"/>
      <c r="E1806" s="35" t="s">
        <v>2934</v>
      </c>
    </row>
    <row r="1807" spans="1:5" x14ac:dyDescent="0.2">
      <c r="A1807" s="34" t="str">
        <f>HYPERLINK("http://www.daganm.co.il/sku/CABLE-423/15","CABLE-423/15")</f>
        <v>CABLE-423/15</v>
      </c>
      <c r="B1807" t="s">
        <v>6</v>
      </c>
      <c r="C1807" s="2" t="s">
        <v>1327</v>
      </c>
      <c r="D1807" s="32"/>
      <c r="E1807" s="35" t="s">
        <v>2935</v>
      </c>
    </row>
    <row r="1808" spans="1:5" x14ac:dyDescent="0.2">
      <c r="A1808" s="34" t="str">
        <f>HYPERLINK("http://www.daganm.co.il/sku/CABLE-423/20","CABLE-423/20")</f>
        <v>CABLE-423/20</v>
      </c>
      <c r="B1808" t="s">
        <v>6</v>
      </c>
      <c r="C1808" s="2" t="s">
        <v>1328</v>
      </c>
      <c r="D1808" s="32"/>
      <c r="E1808" s="35" t="s">
        <v>2936</v>
      </c>
    </row>
    <row r="1809" spans="1:5" x14ac:dyDescent="0.2">
      <c r="A1809" s="34" t="str">
        <f>HYPERLINK("http://www.daganm.co.il/sku/CABLE-423S/1","CABLE-423S/1")</f>
        <v>CABLE-423S/1</v>
      </c>
      <c r="B1809" t="s">
        <v>6</v>
      </c>
      <c r="C1809" s="2" t="s">
        <v>3360</v>
      </c>
      <c r="D1809" s="32"/>
      <c r="E1809" s="35" t="s">
        <v>3493</v>
      </c>
    </row>
    <row r="1810" spans="1:5" x14ac:dyDescent="0.2">
      <c r="A1810" s="34" t="str">
        <f>HYPERLINK("http://www.daganm.co.il/sku/CABLE-423S/1.8","CABLE-423S/1.8")</f>
        <v>CABLE-423S/1.8</v>
      </c>
      <c r="B1810" t="s">
        <v>6</v>
      </c>
      <c r="C1810" s="2" t="s">
        <v>1329</v>
      </c>
      <c r="D1810" s="32"/>
      <c r="E1810" s="35" t="s">
        <v>2937</v>
      </c>
    </row>
    <row r="1811" spans="1:5" x14ac:dyDescent="0.2">
      <c r="A1811" s="34" t="str">
        <f>HYPERLINK("http://www.daganm.co.il/sku/CABLE-423S/3","CABLE-423S/3")</f>
        <v>CABLE-423S/3</v>
      </c>
      <c r="B1811" t="s">
        <v>6</v>
      </c>
      <c r="C1811" s="2" t="s">
        <v>1330</v>
      </c>
      <c r="D1811" s="32"/>
      <c r="E1811" s="35" t="s">
        <v>2938</v>
      </c>
    </row>
    <row r="1812" spans="1:5" x14ac:dyDescent="0.2">
      <c r="A1812" s="34" t="str">
        <f>HYPERLINK("http://www.daganm.co.il/sku/CABLE-423S/5","CABLE-423S/5")</f>
        <v>CABLE-423S/5</v>
      </c>
      <c r="B1812" t="s">
        <v>6</v>
      </c>
      <c r="C1812" s="2" t="s">
        <v>1331</v>
      </c>
      <c r="D1812" s="32"/>
      <c r="E1812" s="35" t="s">
        <v>2939</v>
      </c>
    </row>
    <row r="1813" spans="1:5" x14ac:dyDescent="0.2">
      <c r="A1813" s="34" t="str">
        <f>HYPERLINK("http://www.daganm.co.il/sku/CABLE-423S/10","CABLE-423S/10")</f>
        <v>CABLE-423S/10</v>
      </c>
      <c r="B1813" t="s">
        <v>6</v>
      </c>
      <c r="C1813" s="2" t="s">
        <v>1332</v>
      </c>
      <c r="D1813" s="32">
        <v>45442</v>
      </c>
      <c r="E1813" s="35" t="s">
        <v>2940</v>
      </c>
    </row>
    <row r="1814" spans="1:5" x14ac:dyDescent="0.2">
      <c r="A1814" s="37" t="str">
        <f>HYPERLINK("http://www.daganm.co.il/sku/CABLE-423S/15","CABLE-423S/15")</f>
        <v>CABLE-423S/15</v>
      </c>
      <c r="B1814" t="s">
        <v>6</v>
      </c>
      <c r="C1814" s="2" t="s">
        <v>4177</v>
      </c>
      <c r="D1814" s="32">
        <v>45442</v>
      </c>
      <c r="E1814" s="35" t="s">
        <v>4296</v>
      </c>
    </row>
    <row r="1815" spans="1:5" x14ac:dyDescent="0.2">
      <c r="A1815" s="34" t="str">
        <f>HYPERLINK("http://www.daganm.co.il/sku/CABLE-423T/1.8","CABLE-423T/1.8")</f>
        <v>CABLE-423T/1.8</v>
      </c>
      <c r="B1815" t="s">
        <v>6</v>
      </c>
      <c r="C1815" s="2" t="s">
        <v>1333</v>
      </c>
      <c r="D1815" s="32"/>
      <c r="E1815" s="32" t="s">
        <v>2941</v>
      </c>
    </row>
    <row r="1816" spans="1:5" x14ac:dyDescent="0.2">
      <c r="A1816" s="34" t="str">
        <f>HYPERLINK("http://www.daganm.co.il/sku/CABLE-423T/3","CABLE-423T/3")</f>
        <v>CABLE-423T/3</v>
      </c>
      <c r="B1816" t="s">
        <v>6</v>
      </c>
      <c r="C1816" s="2" t="s">
        <v>1334</v>
      </c>
      <c r="D1816" s="36"/>
      <c r="E1816" s="35" t="s">
        <v>2942</v>
      </c>
    </row>
    <row r="1817" spans="1:5" x14ac:dyDescent="0.2">
      <c r="A1817" s="34" t="str">
        <f>HYPERLINK("http://www.daganm.co.il/sku/CABLE-423T/5","CABLE-423T/5")</f>
        <v>CABLE-423T/5</v>
      </c>
      <c r="B1817" t="s">
        <v>6</v>
      </c>
      <c r="C1817" s="2" t="s">
        <v>1335</v>
      </c>
      <c r="D1817" s="36"/>
      <c r="E1817" s="35" t="s">
        <v>2943</v>
      </c>
    </row>
    <row r="1818" spans="1:5" x14ac:dyDescent="0.2">
      <c r="A1818" s="34" t="str">
        <f>HYPERLINK("http://www.daganm.co.il/sku/CABLE-423T/10","CABLE-423T/10")</f>
        <v>CABLE-423T/10</v>
      </c>
      <c r="B1818" t="s">
        <v>6</v>
      </c>
      <c r="C1818" s="2" t="s">
        <v>1336</v>
      </c>
      <c r="D1818" s="32"/>
      <c r="E1818" s="35" t="s">
        <v>2944</v>
      </c>
    </row>
    <row r="1819" spans="1:5" x14ac:dyDescent="0.2">
      <c r="A1819" s="34" t="str">
        <f>HYPERLINK("http://www.daganm.co.il/sku/CABLE-423T/15","CABLE-423T/15")</f>
        <v>CABLE-423T/15</v>
      </c>
      <c r="B1819" t="s">
        <v>6</v>
      </c>
      <c r="C1819" s="2" t="s">
        <v>1337</v>
      </c>
      <c r="D1819" s="32"/>
      <c r="E1819" s="35" t="s">
        <v>2945</v>
      </c>
    </row>
    <row r="1820" spans="1:5" x14ac:dyDescent="0.2">
      <c r="A1820" s="34" t="str">
        <f>HYPERLINK("http://www.daganm.co.il/sku/CABLE-423T/20","CABLE-423T/20")</f>
        <v>CABLE-423T/20</v>
      </c>
      <c r="B1820" t="s">
        <v>6</v>
      </c>
      <c r="C1820" s="2" t="s">
        <v>1338</v>
      </c>
      <c r="D1820" s="32"/>
      <c r="E1820" s="35" t="s">
        <v>2946</v>
      </c>
    </row>
    <row r="1821" spans="1:5" x14ac:dyDescent="0.2">
      <c r="B1821"/>
      <c r="C1821" s="33" t="s">
        <v>74</v>
      </c>
      <c r="D1821" s="32"/>
      <c r="E1821" s="35"/>
    </row>
    <row r="1822" spans="1:5" x14ac:dyDescent="0.2">
      <c r="A1822" s="34" t="str">
        <f>HYPERLINK("http://www.daganm.co.il/sku/CABLE-458HQ","CABLE-458HQ")</f>
        <v>CABLE-458HQ</v>
      </c>
      <c r="B1822" t="s">
        <v>6</v>
      </c>
      <c r="C1822" s="2" t="s">
        <v>1339</v>
      </c>
      <c r="D1822" s="32"/>
      <c r="E1822" s="35" t="s">
        <v>2947</v>
      </c>
    </row>
    <row r="1823" spans="1:5" x14ac:dyDescent="0.2">
      <c r="A1823" s="34" t="str">
        <f>HYPERLINK("http://www.daganm.co.il/sku/CABLE-458/3HQ","CABLE-458/3HQ")</f>
        <v>CABLE-458/3HQ</v>
      </c>
      <c r="B1823" t="s">
        <v>6</v>
      </c>
      <c r="C1823" s="2" t="s">
        <v>1340</v>
      </c>
      <c r="D1823" s="32"/>
      <c r="E1823" s="35" t="s">
        <v>2948</v>
      </c>
    </row>
    <row r="1824" spans="1:5" x14ac:dyDescent="0.2">
      <c r="A1824" s="34" t="str">
        <f>HYPERLINK("http://www.daganm.co.il/sku/CABLE-458/5HQ","CABLE-458/5HQ")</f>
        <v>CABLE-458/5HQ</v>
      </c>
      <c r="B1824" t="s">
        <v>6</v>
      </c>
      <c r="C1824" s="2" t="s">
        <v>3897</v>
      </c>
      <c r="D1824" s="32"/>
      <c r="E1824" s="35" t="s">
        <v>4042</v>
      </c>
    </row>
    <row r="1825" spans="1:5" x14ac:dyDescent="0.2">
      <c r="A1825" s="34" t="str">
        <f>HYPERLINK("http://www.daganm.co.il/sku/CABLE-458S/1","CABLE-458S/1")</f>
        <v>CABLE-458S/1</v>
      </c>
      <c r="B1825" t="s">
        <v>6</v>
      </c>
      <c r="C1825" s="2" t="s">
        <v>1341</v>
      </c>
      <c r="D1825" s="32"/>
      <c r="E1825" s="35" t="s">
        <v>2949</v>
      </c>
    </row>
    <row r="1826" spans="1:5" x14ac:dyDescent="0.2">
      <c r="A1826" s="34" t="str">
        <f>HYPERLINK("http://www.daganm.co.il/sku/CABLE-458S/1.8","CABLE-458S/1.8")</f>
        <v>CABLE-458S/1.8</v>
      </c>
      <c r="B1826" t="s">
        <v>6</v>
      </c>
      <c r="C1826" s="2" t="s">
        <v>1342</v>
      </c>
      <c r="D1826" s="36">
        <v>45442</v>
      </c>
      <c r="E1826" s="35" t="s">
        <v>2950</v>
      </c>
    </row>
    <row r="1827" spans="1:5" x14ac:dyDescent="0.2">
      <c r="A1827" s="34" t="str">
        <f>HYPERLINK("http://www.daganm.co.il/sku/CABLE-458S/3","CABLE-458S/3")</f>
        <v>CABLE-458S/3</v>
      </c>
      <c r="B1827" t="s">
        <v>6</v>
      </c>
      <c r="C1827" s="2" t="s">
        <v>1343</v>
      </c>
      <c r="D1827" s="32"/>
      <c r="E1827" s="35" t="s">
        <v>2951</v>
      </c>
    </row>
    <row r="1828" spans="1:5" x14ac:dyDescent="0.2">
      <c r="A1828" s="34" t="str">
        <f>HYPERLINK("http://www.daganm.co.il/sku/CABLE-458S/5","CABLE-458S/5")</f>
        <v>CABLE-458S/5</v>
      </c>
      <c r="B1828" t="s">
        <v>6</v>
      </c>
      <c r="C1828" s="2" t="s">
        <v>1344</v>
      </c>
      <c r="D1828" s="32"/>
      <c r="E1828" s="35" t="s">
        <v>2952</v>
      </c>
    </row>
    <row r="1829" spans="1:5" x14ac:dyDescent="0.2">
      <c r="A1829" s="34" t="str">
        <f>HYPERLINK("http://www.daganm.co.il/sku/CABLE-458S/7.5","CABLE-458S/7.5")</f>
        <v>CABLE-458S/7.5</v>
      </c>
      <c r="B1829" t="s">
        <v>6</v>
      </c>
      <c r="C1829" s="2" t="s">
        <v>1345</v>
      </c>
      <c r="D1829" s="32"/>
      <c r="E1829" s="35" t="s">
        <v>2953</v>
      </c>
    </row>
    <row r="1830" spans="1:5" x14ac:dyDescent="0.2">
      <c r="A1830" s="34" t="str">
        <f>HYPERLINK("http://www.daganm.co.il/sku/CABLE-458S/10","CABLE-458S/10")</f>
        <v>CABLE-458S/10</v>
      </c>
      <c r="B1830" t="s">
        <v>6</v>
      </c>
      <c r="C1830" s="2" t="s">
        <v>1346</v>
      </c>
      <c r="D1830" s="32"/>
      <c r="E1830" s="32" t="s">
        <v>2954</v>
      </c>
    </row>
    <row r="1831" spans="1:5" x14ac:dyDescent="0.2">
      <c r="A1831" s="34" t="str">
        <f>HYPERLINK("http://www.daganm.co.il/sku/CABLE-458S/15","CABLE-458S/15")</f>
        <v>CABLE-458S/15</v>
      </c>
      <c r="B1831" t="s">
        <v>6</v>
      </c>
      <c r="C1831" s="2" t="s">
        <v>1347</v>
      </c>
      <c r="D1831" s="32"/>
      <c r="E1831" s="35" t="s">
        <v>2955</v>
      </c>
    </row>
    <row r="1832" spans="1:5" x14ac:dyDescent="0.2">
      <c r="A1832" s="34" t="str">
        <f>HYPERLINK("http://www.daganm.co.il/sku/CABLE-458T/1","CABLE-458T/1")</f>
        <v>CABLE-458T/1</v>
      </c>
      <c r="B1832" t="s">
        <v>6</v>
      </c>
      <c r="C1832" s="2" t="s">
        <v>1348</v>
      </c>
      <c r="D1832" s="32"/>
      <c r="E1832" s="35" t="s">
        <v>2956</v>
      </c>
    </row>
    <row r="1833" spans="1:5" x14ac:dyDescent="0.2">
      <c r="A1833" s="34" t="str">
        <f>HYPERLINK("http://www.daganm.co.il/sku/CABLE-458T/1.8","CABLE-458T/1.8")</f>
        <v>CABLE-458T/1.8</v>
      </c>
      <c r="B1833" t="s">
        <v>6</v>
      </c>
      <c r="C1833" s="2" t="s">
        <v>1349</v>
      </c>
      <c r="D1833" s="32"/>
      <c r="E1833" s="35" t="s">
        <v>2957</v>
      </c>
    </row>
    <row r="1834" spans="1:5" x14ac:dyDescent="0.2">
      <c r="A1834" s="34" t="str">
        <f>HYPERLINK("http://www.daganm.co.il/sku/CABLE-458T/3","CABLE-458T/3")</f>
        <v>CABLE-458T/3</v>
      </c>
      <c r="B1834" t="s">
        <v>6</v>
      </c>
      <c r="C1834" s="2" t="s">
        <v>1350</v>
      </c>
      <c r="D1834" s="32"/>
      <c r="E1834" s="35" t="s">
        <v>2958</v>
      </c>
    </row>
    <row r="1835" spans="1:5" x14ac:dyDescent="0.2">
      <c r="A1835" s="34" t="str">
        <f>HYPERLINK("http://www.daganm.co.il/sku/CABLE-458T/5","CABLE-458T/5")</f>
        <v>CABLE-458T/5</v>
      </c>
      <c r="B1835" t="s">
        <v>6</v>
      </c>
      <c r="C1835" s="2" t="s">
        <v>1351</v>
      </c>
      <c r="D1835" s="32"/>
      <c r="E1835" s="35" t="s">
        <v>2959</v>
      </c>
    </row>
    <row r="1836" spans="1:5" x14ac:dyDescent="0.2">
      <c r="A1836" s="34" t="str">
        <f>HYPERLINK("http://www.daganm.co.il/sku/CABLE-458T/7.5","CABLE-458T/7.5")</f>
        <v>CABLE-458T/7.5</v>
      </c>
      <c r="B1836" t="s">
        <v>6</v>
      </c>
      <c r="C1836" s="2" t="s">
        <v>1352</v>
      </c>
      <c r="D1836" s="32"/>
      <c r="E1836" s="35" t="s">
        <v>2960</v>
      </c>
    </row>
    <row r="1837" spans="1:5" x14ac:dyDescent="0.2">
      <c r="A1837" s="34" t="str">
        <f>HYPERLINK("http://www.daganm.co.il/sku/CABLE-458T/10","CABLE-458T/10")</f>
        <v>CABLE-458T/10</v>
      </c>
      <c r="B1837" t="s">
        <v>6</v>
      </c>
      <c r="C1837" s="2" t="s">
        <v>1353</v>
      </c>
      <c r="D1837" s="32"/>
      <c r="E1837" s="35" t="s">
        <v>2961</v>
      </c>
    </row>
    <row r="1838" spans="1:5" x14ac:dyDescent="0.2">
      <c r="A1838" s="34" t="str">
        <f>HYPERLINK("http://www.daganm.co.il/sku/CABLE-458T/15","CABLE-458T/15")</f>
        <v>CABLE-458T/15</v>
      </c>
      <c r="B1838" t="s">
        <v>6</v>
      </c>
      <c r="C1838" s="2" t="s">
        <v>1354</v>
      </c>
      <c r="D1838" s="32"/>
      <c r="E1838" s="35" t="s">
        <v>2962</v>
      </c>
    </row>
    <row r="1839" spans="1:5" x14ac:dyDescent="0.2">
      <c r="A1839" s="34" t="str">
        <f>HYPERLINK("http://www.daganm.co.il/sku/CABLE-458T/20","CABLE-458T/20")</f>
        <v>CABLE-458T/20</v>
      </c>
      <c r="B1839" t="s">
        <v>6</v>
      </c>
      <c r="C1839" s="2" t="s">
        <v>1355</v>
      </c>
      <c r="D1839" s="32"/>
      <c r="E1839" s="35" t="s">
        <v>2963</v>
      </c>
    </row>
    <row r="1840" spans="1:5" x14ac:dyDescent="0.2">
      <c r="B1840"/>
      <c r="C1840" s="33" t="s">
        <v>75</v>
      </c>
      <c r="D1840" s="32"/>
      <c r="E1840" s="32"/>
    </row>
    <row r="1841" spans="1:5" x14ac:dyDescent="0.2">
      <c r="A1841" s="34" t="str">
        <f>HYPERLINK("http://www.daganm.co.il/sku/CABLE-459T-2","CABLE-459T-2")</f>
        <v>CABLE-459T-2</v>
      </c>
      <c r="B1841" t="s">
        <v>6</v>
      </c>
      <c r="C1841" s="2" t="s">
        <v>1356</v>
      </c>
      <c r="D1841" s="32"/>
      <c r="E1841" s="35" t="s">
        <v>2964</v>
      </c>
    </row>
    <row r="1842" spans="1:5" x14ac:dyDescent="0.2">
      <c r="A1842" s="34" t="str">
        <f>HYPERLINK("http://www.daganm.co.il/sku/CABLE-459T-3","CABLE-459T-3")</f>
        <v>CABLE-459T-3</v>
      </c>
      <c r="B1842" t="s">
        <v>6</v>
      </c>
      <c r="C1842" s="2" t="s">
        <v>1357</v>
      </c>
      <c r="D1842" s="32"/>
      <c r="E1842" s="35" t="s">
        <v>2965</v>
      </c>
    </row>
    <row r="1843" spans="1:5" x14ac:dyDescent="0.2">
      <c r="A1843" s="34" t="str">
        <f>HYPERLINK("http://www.daganm.co.il/sku/CABLE-459T-5","CABLE-459T-5")</f>
        <v>CABLE-459T-5</v>
      </c>
      <c r="B1843" t="s">
        <v>6</v>
      </c>
      <c r="C1843" s="2" t="s">
        <v>1358</v>
      </c>
      <c r="D1843" s="32"/>
      <c r="E1843" s="35" t="s">
        <v>2966</v>
      </c>
    </row>
    <row r="1844" spans="1:5" x14ac:dyDescent="0.2">
      <c r="A1844" s="34" t="str">
        <f>HYPERLINK("http://www.daganm.co.il/sku/CABLE-459T-10","CABLE-459T-10")</f>
        <v>CABLE-459T-10</v>
      </c>
      <c r="B1844" t="s">
        <v>6</v>
      </c>
      <c r="C1844" s="2" t="s">
        <v>1359</v>
      </c>
      <c r="D1844" s="32"/>
      <c r="E1844" s="35" t="s">
        <v>2967</v>
      </c>
    </row>
    <row r="1845" spans="1:5" x14ac:dyDescent="0.2">
      <c r="A1845" s="34" t="str">
        <f>HYPERLINK("http://www.daganm.co.il/sku/CABLE-463T-2","CABLE-463T-2")</f>
        <v>CABLE-463T-2</v>
      </c>
      <c r="B1845" t="s">
        <v>6</v>
      </c>
      <c r="C1845" s="2" t="s">
        <v>1360</v>
      </c>
      <c r="D1845" s="32"/>
      <c r="E1845" s="35" t="s">
        <v>2968</v>
      </c>
    </row>
    <row r="1846" spans="1:5" x14ac:dyDescent="0.2">
      <c r="A1846" s="34" t="str">
        <f>HYPERLINK("http://www.daganm.co.il/sku/CABLE-463T-3","CABLE-463T-3")</f>
        <v>CABLE-463T-3</v>
      </c>
      <c r="B1846" t="s">
        <v>6</v>
      </c>
      <c r="C1846" s="2" t="s">
        <v>1361</v>
      </c>
      <c r="D1846" s="32"/>
      <c r="E1846" s="35" t="s">
        <v>2969</v>
      </c>
    </row>
    <row r="1847" spans="1:5" x14ac:dyDescent="0.2">
      <c r="A1847" s="34" t="str">
        <f>HYPERLINK("http://www.daganm.co.il/sku/CABLE-463T-5","CABLE-463T-5")</f>
        <v>CABLE-463T-5</v>
      </c>
      <c r="B1847" t="s">
        <v>6</v>
      </c>
      <c r="C1847" s="2" t="s">
        <v>1362</v>
      </c>
      <c r="D1847" s="32"/>
      <c r="E1847" s="35" t="s">
        <v>2970</v>
      </c>
    </row>
    <row r="1848" spans="1:5" x14ac:dyDescent="0.2">
      <c r="A1848" s="34" t="str">
        <f>HYPERLINK("http://www.daganm.co.il/sku/CABLE-465T-1","CABLE-465T-1")</f>
        <v>CABLE-465T-1</v>
      </c>
      <c r="B1848" t="s">
        <v>6</v>
      </c>
      <c r="C1848" s="2" t="s">
        <v>1363</v>
      </c>
      <c r="D1848" s="32"/>
      <c r="E1848" s="35" t="s">
        <v>2971</v>
      </c>
    </row>
    <row r="1849" spans="1:5" x14ac:dyDescent="0.2">
      <c r="A1849" s="34" t="str">
        <f>HYPERLINK("http://www.daganm.co.il/sku/CABLE-465T-2","CABLE-465T-2")</f>
        <v>CABLE-465T-2</v>
      </c>
      <c r="B1849" t="s">
        <v>6</v>
      </c>
      <c r="C1849" s="2" t="s">
        <v>1364</v>
      </c>
      <c r="D1849" s="32"/>
      <c r="E1849" s="35" t="s">
        <v>2972</v>
      </c>
    </row>
    <row r="1850" spans="1:5" x14ac:dyDescent="0.2">
      <c r="A1850" s="34" t="str">
        <f>HYPERLINK("http://www.daganm.co.il/sku/CABLE-465T-3","CABLE-465T-3")</f>
        <v>CABLE-465T-3</v>
      </c>
      <c r="B1850" t="s">
        <v>6</v>
      </c>
      <c r="C1850" s="2" t="s">
        <v>1365</v>
      </c>
      <c r="D1850" s="32"/>
      <c r="E1850" s="35" t="s">
        <v>2973</v>
      </c>
    </row>
    <row r="1851" spans="1:5" x14ac:dyDescent="0.2">
      <c r="A1851" s="34" t="str">
        <f>HYPERLINK("http://www.daganm.co.il/sku/CABLE-465T-5","CABLE-465T-5")</f>
        <v>CABLE-465T-5</v>
      </c>
      <c r="B1851" t="s">
        <v>6</v>
      </c>
      <c r="C1851" s="2" t="s">
        <v>1366</v>
      </c>
      <c r="D1851" s="32"/>
      <c r="E1851" s="35" t="s">
        <v>2974</v>
      </c>
    </row>
    <row r="1852" spans="1:5" x14ac:dyDescent="0.2">
      <c r="A1852" s="34" t="str">
        <f>HYPERLINK("http://www.daganm.co.il/sku/CABLE-453T-1","CABLE-453T-1")</f>
        <v>CABLE-453T-1</v>
      </c>
      <c r="B1852" t="s">
        <v>6</v>
      </c>
      <c r="C1852" s="2" t="s">
        <v>1367</v>
      </c>
      <c r="D1852" s="32"/>
      <c r="E1852" s="35" t="s">
        <v>2975</v>
      </c>
    </row>
    <row r="1853" spans="1:5" x14ac:dyDescent="0.2">
      <c r="A1853" s="34" t="str">
        <f>HYPERLINK("http://www.daganm.co.il/sku/CABLE-453T-2","CABLE-453T-2")</f>
        <v>CABLE-453T-2</v>
      </c>
      <c r="B1853" t="s">
        <v>6</v>
      </c>
      <c r="C1853" s="2" t="s">
        <v>1368</v>
      </c>
      <c r="D1853" s="32"/>
      <c r="E1853" s="35" t="s">
        <v>2976</v>
      </c>
    </row>
    <row r="1854" spans="1:5" x14ac:dyDescent="0.2">
      <c r="A1854" s="34" t="str">
        <f>HYPERLINK("http://www.daganm.co.il/sku/CABLE-453T-3","CABLE-453T-3")</f>
        <v>CABLE-453T-3</v>
      </c>
      <c r="B1854" t="s">
        <v>6</v>
      </c>
      <c r="C1854" s="2" t="s">
        <v>1369</v>
      </c>
      <c r="D1854" s="32"/>
      <c r="E1854" s="35" t="s">
        <v>2977</v>
      </c>
    </row>
    <row r="1855" spans="1:5" x14ac:dyDescent="0.2">
      <c r="B1855"/>
      <c r="C1855" s="33" t="s">
        <v>76</v>
      </c>
      <c r="D1855" s="32"/>
      <c r="E1855" s="32"/>
    </row>
    <row r="1856" spans="1:5" x14ac:dyDescent="0.2">
      <c r="A1856" s="34" t="str">
        <f>HYPERLINK("http://www.daganm.co.il/sku/CABLE-530","CABLE-530")</f>
        <v>CABLE-530</v>
      </c>
      <c r="B1856" t="s">
        <v>6</v>
      </c>
      <c r="C1856" s="2" t="s">
        <v>1370</v>
      </c>
      <c r="D1856" s="32"/>
      <c r="E1856" s="35" t="s">
        <v>2978</v>
      </c>
    </row>
    <row r="1857" spans="1:5" x14ac:dyDescent="0.2">
      <c r="A1857" s="34" t="str">
        <f>HYPERLINK("http://www.daganm.co.il/sku/CABLE-537","CABLE-537")</f>
        <v>CABLE-537</v>
      </c>
      <c r="B1857" t="s">
        <v>6</v>
      </c>
      <c r="C1857" s="2" t="s">
        <v>1371</v>
      </c>
      <c r="D1857" s="32"/>
      <c r="E1857" s="35" t="s">
        <v>2979</v>
      </c>
    </row>
    <row r="1858" spans="1:5" x14ac:dyDescent="0.2">
      <c r="A1858" s="34" t="str">
        <f>HYPERLINK("http://www.daganm.co.il/sku/CABLE-457HQ","CABLE-457HQ")</f>
        <v>CABLE-457HQ</v>
      </c>
      <c r="B1858" t="s">
        <v>6</v>
      </c>
      <c r="C1858" s="2" t="s">
        <v>1372</v>
      </c>
      <c r="D1858" s="32"/>
      <c r="E1858" s="35" t="s">
        <v>2980</v>
      </c>
    </row>
    <row r="1859" spans="1:5" x14ac:dyDescent="0.2">
      <c r="A1859" s="34" t="str">
        <f>HYPERLINK("http://www.daganm.co.il/sku/CABLE-460/0.2","CABLE-460/0.2")</f>
        <v>CABLE-460/0.2</v>
      </c>
      <c r="B1859" t="s">
        <v>6</v>
      </c>
      <c r="C1859" s="2" t="s">
        <v>1373</v>
      </c>
      <c r="D1859" s="32"/>
      <c r="E1859" s="35" t="s">
        <v>2981</v>
      </c>
    </row>
    <row r="1860" spans="1:5" x14ac:dyDescent="0.2">
      <c r="A1860" s="34" t="str">
        <f>HYPERLINK("http://www.daganm.co.il/sku/CABLE-470HQ","CABLE-470HQ")</f>
        <v>CABLE-470HQ</v>
      </c>
      <c r="B1860" t="s">
        <v>6</v>
      </c>
      <c r="C1860" s="2" t="s">
        <v>1374</v>
      </c>
      <c r="D1860" s="32"/>
      <c r="E1860" s="35" t="s">
        <v>2982</v>
      </c>
    </row>
    <row r="1861" spans="1:5" x14ac:dyDescent="0.2">
      <c r="A1861" s="34" t="str">
        <f>HYPERLINK("http://www.daganm.co.il/sku/CABLE-406HQ","CABLE-406HQ")</f>
        <v>CABLE-406HQ</v>
      </c>
      <c r="B1861" t="s">
        <v>6</v>
      </c>
      <c r="C1861" s="2" t="s">
        <v>1375</v>
      </c>
      <c r="D1861" s="36"/>
      <c r="E1861" s="35" t="s">
        <v>2983</v>
      </c>
    </row>
    <row r="1862" spans="1:5" x14ac:dyDescent="0.2">
      <c r="A1862" s="34" t="str">
        <f>HYPERLINK("http://www.daganm.co.il/sku/CABLE-415HQ","CABLE-415HQ")</f>
        <v>CABLE-415HQ</v>
      </c>
      <c r="B1862" t="s">
        <v>6</v>
      </c>
      <c r="C1862" s="2" t="s">
        <v>1376</v>
      </c>
      <c r="D1862" s="32"/>
      <c r="E1862" s="35" t="s">
        <v>2984</v>
      </c>
    </row>
    <row r="1863" spans="1:5" x14ac:dyDescent="0.2">
      <c r="A1863" s="34" t="str">
        <f>HYPERLINK("http://www.daganm.co.il/sku/CABLE-415SP","CABLE-415SP")</f>
        <v>CABLE-415SP</v>
      </c>
      <c r="B1863" t="s">
        <v>6</v>
      </c>
      <c r="C1863" s="2" t="s">
        <v>1377</v>
      </c>
      <c r="D1863" s="32"/>
      <c r="E1863" s="35" t="s">
        <v>2985</v>
      </c>
    </row>
    <row r="1864" spans="1:5" x14ac:dyDescent="0.2">
      <c r="A1864" s="34" t="str">
        <f>HYPERLINK("http://www.daganm.co.il/sku/CABLE-414SP-1.8","CABLE-414SP-1.8")</f>
        <v>CABLE-414SP-1.8</v>
      </c>
      <c r="B1864" t="s">
        <v>6</v>
      </c>
      <c r="C1864" s="2" t="s">
        <v>1378</v>
      </c>
      <c r="D1864" s="32">
        <v>45442</v>
      </c>
      <c r="E1864" s="35" t="s">
        <v>2986</v>
      </c>
    </row>
    <row r="1865" spans="1:5" x14ac:dyDescent="0.2">
      <c r="B1865"/>
      <c r="C1865" s="33" t="s">
        <v>77</v>
      </c>
      <c r="D1865" s="32"/>
      <c r="E1865" s="35"/>
    </row>
    <row r="1866" spans="1:5" x14ac:dyDescent="0.2">
      <c r="A1866" s="34" t="str">
        <f>HYPERLINK("http://www.daganm.co.il/sku/CABLE-416","CABLE-416")</f>
        <v>CABLE-416</v>
      </c>
      <c r="B1866" t="s">
        <v>6</v>
      </c>
      <c r="C1866" s="2" t="s">
        <v>1379</v>
      </c>
      <c r="D1866" s="32"/>
      <c r="E1866" s="35" t="s">
        <v>2987</v>
      </c>
    </row>
    <row r="1867" spans="1:5" x14ac:dyDescent="0.2">
      <c r="A1867" s="34" t="str">
        <f>HYPERLINK("http://www.daganm.co.il/sku/CABLE-416H","CABLE-416H")</f>
        <v>CABLE-416H</v>
      </c>
      <c r="B1867" t="s">
        <v>6</v>
      </c>
      <c r="C1867" s="2" t="s">
        <v>1380</v>
      </c>
      <c r="D1867" s="32"/>
      <c r="E1867" s="32" t="s">
        <v>2988</v>
      </c>
    </row>
    <row r="1868" spans="1:5" x14ac:dyDescent="0.2">
      <c r="A1868" s="34" t="str">
        <f>HYPERLINK("http://www.daganm.co.il/sku/CABLE-417","CABLE-417")</f>
        <v>CABLE-417</v>
      </c>
      <c r="B1868" t="s">
        <v>6</v>
      </c>
      <c r="C1868" s="2" t="s">
        <v>1381</v>
      </c>
      <c r="D1868" s="32"/>
      <c r="E1868" s="35" t="s">
        <v>2989</v>
      </c>
    </row>
    <row r="1869" spans="1:5" x14ac:dyDescent="0.2">
      <c r="A1869" s="34" t="str">
        <f>HYPERLINK("http://www.daganm.co.il/sku/CABLE-407","CABLE-407")</f>
        <v>CABLE-407</v>
      </c>
      <c r="B1869" t="s">
        <v>6</v>
      </c>
      <c r="C1869" s="2" t="s">
        <v>1382</v>
      </c>
      <c r="D1869" s="32"/>
      <c r="E1869" s="35" t="s">
        <v>2990</v>
      </c>
    </row>
    <row r="1870" spans="1:5" x14ac:dyDescent="0.2">
      <c r="A1870" s="34" t="str">
        <f>HYPERLINK("http://www.daganm.co.il/sku/CABLE-408","CABLE-408")</f>
        <v>CABLE-408</v>
      </c>
      <c r="B1870" t="s">
        <v>6</v>
      </c>
      <c r="C1870" s="2" t="s">
        <v>1383</v>
      </c>
      <c r="D1870" s="32"/>
      <c r="E1870" s="35" t="s">
        <v>2991</v>
      </c>
    </row>
    <row r="1871" spans="1:5" x14ac:dyDescent="0.2">
      <c r="A1871" s="34" t="str">
        <f>HYPERLINK("http://www.daganm.co.il/sku/CABLE-421-1","CABLE-421-1")</f>
        <v>CABLE-421-1</v>
      </c>
      <c r="B1871" t="s">
        <v>6</v>
      </c>
      <c r="C1871" s="2" t="s">
        <v>1384</v>
      </c>
      <c r="D1871" s="32"/>
      <c r="E1871" s="35" t="s">
        <v>2992</v>
      </c>
    </row>
    <row r="1872" spans="1:5" x14ac:dyDescent="0.2">
      <c r="A1872" s="34" t="str">
        <f>HYPERLINK("http://www.daganm.co.il/sku/CABLE-421-2","CABLE-421-2")</f>
        <v>CABLE-421-2</v>
      </c>
      <c r="B1872" t="s">
        <v>6</v>
      </c>
      <c r="C1872" s="2" t="s">
        <v>1385</v>
      </c>
      <c r="D1872" s="32"/>
      <c r="E1872" s="35" t="s">
        <v>2993</v>
      </c>
    </row>
    <row r="1873" spans="1:5" x14ac:dyDescent="0.2">
      <c r="A1873" s="34" t="str">
        <f>HYPERLINK("http://www.daganm.co.il/sku/CABLE-421-3","CABLE-421-3")</f>
        <v>CABLE-421-3</v>
      </c>
      <c r="B1873" t="s">
        <v>6</v>
      </c>
      <c r="C1873" s="2" t="s">
        <v>1386</v>
      </c>
      <c r="D1873" s="32"/>
      <c r="E1873" s="35" t="s">
        <v>2994</v>
      </c>
    </row>
    <row r="1874" spans="1:5" x14ac:dyDescent="0.2">
      <c r="A1874" s="34" t="str">
        <f>HYPERLINK("http://www.daganm.co.il/sku/CABLE-422-0.5","CABLE-422-0.5")</f>
        <v>CABLE-422-0.5</v>
      </c>
      <c r="B1874" t="s">
        <v>6</v>
      </c>
      <c r="C1874" s="2" t="s">
        <v>1387</v>
      </c>
      <c r="D1874" s="32"/>
      <c r="E1874" s="35" t="s">
        <v>2995</v>
      </c>
    </row>
    <row r="1875" spans="1:5" x14ac:dyDescent="0.2">
      <c r="A1875" s="34" t="str">
        <f>HYPERLINK("http://www.daganm.co.il/sku/CABLE-422-1","CABLE-422-1")</f>
        <v>CABLE-422-1</v>
      </c>
      <c r="B1875" t="s">
        <v>6</v>
      </c>
      <c r="C1875" s="2" t="s">
        <v>1388</v>
      </c>
      <c r="D1875" s="32"/>
      <c r="E1875" s="35" t="s">
        <v>2996</v>
      </c>
    </row>
    <row r="1876" spans="1:5" x14ac:dyDescent="0.2">
      <c r="A1876" s="34" t="str">
        <f>HYPERLINK("http://www.daganm.co.il/sku/CABLE-422-2","CABLE-422-2")</f>
        <v>CABLE-422-2</v>
      </c>
      <c r="B1876" t="s">
        <v>6</v>
      </c>
      <c r="C1876" s="2" t="s">
        <v>1389</v>
      </c>
      <c r="D1876" s="32"/>
      <c r="E1876" s="35" t="s">
        <v>2997</v>
      </c>
    </row>
    <row r="1877" spans="1:5" x14ac:dyDescent="0.2">
      <c r="A1877" s="34" t="str">
        <f>HYPERLINK("http://www.daganm.co.il/sku/CABLE-422-3","CABLE-422-3")</f>
        <v>CABLE-422-3</v>
      </c>
      <c r="B1877" t="s">
        <v>6</v>
      </c>
      <c r="C1877" s="2" t="s">
        <v>1390</v>
      </c>
      <c r="D1877" s="32"/>
      <c r="E1877" s="35" t="s">
        <v>2998</v>
      </c>
    </row>
    <row r="1878" spans="1:5" x14ac:dyDescent="0.2">
      <c r="A1878" s="34" t="str">
        <f>HYPERLINK("http://www.daganm.co.il/sku/CABLE-422-5","CABLE-422-5")</f>
        <v>CABLE-422-5</v>
      </c>
      <c r="B1878" t="s">
        <v>6</v>
      </c>
      <c r="C1878" s="2" t="s">
        <v>1391</v>
      </c>
      <c r="D1878" s="32"/>
      <c r="E1878" s="35" t="s">
        <v>2999</v>
      </c>
    </row>
    <row r="1879" spans="1:5" x14ac:dyDescent="0.2">
      <c r="A1879" s="34" t="str">
        <f>HYPERLINK("http://www.daganm.co.il/sku/CABLE-422-10","CABLE-422-10")</f>
        <v>CABLE-422-10</v>
      </c>
      <c r="B1879" t="s">
        <v>6</v>
      </c>
      <c r="C1879" s="2" t="s">
        <v>1392</v>
      </c>
      <c r="D1879" s="32"/>
      <c r="E1879" s="32" t="s">
        <v>3000</v>
      </c>
    </row>
    <row r="1880" spans="1:5" x14ac:dyDescent="0.2">
      <c r="B1880"/>
      <c r="C1880" s="33" t="s">
        <v>78</v>
      </c>
      <c r="D1880" s="32"/>
      <c r="E1880" s="35"/>
    </row>
    <row r="1881" spans="1:5" x14ac:dyDescent="0.2">
      <c r="A1881" s="34" t="str">
        <f>HYPERLINK("http://www.daganm.co.il/sku/CABLE-471/1.8","CABLE-471/1.8")</f>
        <v>CABLE-471/1.8</v>
      </c>
      <c r="B1881" t="s">
        <v>6</v>
      </c>
      <c r="C1881" s="2" t="s">
        <v>1393</v>
      </c>
      <c r="D1881" s="32"/>
      <c r="E1881" s="35" t="s">
        <v>3001</v>
      </c>
    </row>
    <row r="1882" spans="1:5" x14ac:dyDescent="0.2">
      <c r="A1882" s="34" t="str">
        <f>HYPERLINK("http://www.daganm.co.il/sku/CABLE-471/20","CABLE-471/20")</f>
        <v>CABLE-471/20</v>
      </c>
      <c r="B1882" t="s">
        <v>6</v>
      </c>
      <c r="C1882" s="2" t="s">
        <v>1394</v>
      </c>
      <c r="D1882" s="32"/>
      <c r="E1882" s="35" t="s">
        <v>3002</v>
      </c>
    </row>
    <row r="1883" spans="1:5" x14ac:dyDescent="0.2">
      <c r="A1883" s="34" t="str">
        <f>HYPERLINK("http://www.daganm.co.il/sku/CABLE-473-1","CABLE-473-1")</f>
        <v>CABLE-473-1</v>
      </c>
      <c r="B1883" t="s">
        <v>6</v>
      </c>
      <c r="C1883" s="2" t="s">
        <v>1395</v>
      </c>
      <c r="D1883" s="32"/>
      <c r="E1883" s="35" t="s">
        <v>3003</v>
      </c>
    </row>
    <row r="1884" spans="1:5" x14ac:dyDescent="0.2">
      <c r="A1884" s="34" t="str">
        <f>HYPERLINK("http://www.daganm.co.il/sku/CABLE-473-1.8","CABLE-473-1.8")</f>
        <v>CABLE-473-1.8</v>
      </c>
      <c r="B1884" t="s">
        <v>6</v>
      </c>
      <c r="C1884" s="2" t="s">
        <v>1396</v>
      </c>
      <c r="D1884" s="32"/>
      <c r="E1884" s="32" t="s">
        <v>3004</v>
      </c>
    </row>
    <row r="1885" spans="1:5" x14ac:dyDescent="0.2">
      <c r="A1885" s="34" t="str">
        <f>HYPERLINK("http://www.daganm.co.il/sku/CABLE-473-3","CABLE-473-3")</f>
        <v>CABLE-473-3</v>
      </c>
      <c r="B1885" t="s">
        <v>6</v>
      </c>
      <c r="C1885" s="2" t="s">
        <v>1397</v>
      </c>
      <c r="D1885" s="32">
        <v>45442</v>
      </c>
      <c r="E1885" s="35" t="s">
        <v>3005</v>
      </c>
    </row>
    <row r="1886" spans="1:5" x14ac:dyDescent="0.2">
      <c r="A1886" s="34" t="str">
        <f>HYPERLINK("http://www.daganm.co.il/sku/CABLE-473-5","CABLE-473-5")</f>
        <v>CABLE-473-5</v>
      </c>
      <c r="B1886" t="s">
        <v>6</v>
      </c>
      <c r="C1886" s="2" t="s">
        <v>1398</v>
      </c>
      <c r="D1886" s="32"/>
      <c r="E1886" s="35" t="s">
        <v>3006</v>
      </c>
    </row>
    <row r="1887" spans="1:5" x14ac:dyDescent="0.2">
      <c r="A1887" s="34" t="str">
        <f>HYPERLINK("http://www.daganm.co.il/sku/CABLE-473-7.5","CABLE-473-7.5")</f>
        <v>CABLE-473-7.5</v>
      </c>
      <c r="B1887" t="s">
        <v>6</v>
      </c>
      <c r="C1887" s="2" t="s">
        <v>1399</v>
      </c>
      <c r="D1887" s="32"/>
      <c r="E1887" s="35" t="s">
        <v>3007</v>
      </c>
    </row>
    <row r="1888" spans="1:5" x14ac:dyDescent="0.2">
      <c r="A1888" s="34" t="str">
        <f>HYPERLINK("http://www.daganm.co.il/sku/CABLE-473-10","CABLE-473-10")</f>
        <v>CABLE-473-10</v>
      </c>
      <c r="B1888" t="s">
        <v>6</v>
      </c>
      <c r="C1888" s="2" t="s">
        <v>1400</v>
      </c>
      <c r="D1888" s="32">
        <v>45442</v>
      </c>
      <c r="E1888" s="32" t="s">
        <v>3008</v>
      </c>
    </row>
    <row r="1889" spans="1:5" x14ac:dyDescent="0.2">
      <c r="A1889" s="34" t="str">
        <f>HYPERLINK("http://www.daganm.co.il/sku/CABLE-473-15","CABLE-473-15")</f>
        <v>CABLE-473-15</v>
      </c>
      <c r="B1889" t="s">
        <v>6</v>
      </c>
      <c r="C1889" s="2" t="s">
        <v>1401</v>
      </c>
      <c r="D1889" s="32"/>
      <c r="E1889" s="32" t="s">
        <v>3009</v>
      </c>
    </row>
    <row r="1890" spans="1:5" x14ac:dyDescent="0.2">
      <c r="A1890" s="34" t="str">
        <f>HYPERLINK("http://www.daganm.co.il/sku/CABLE-473-20","CABLE-473-20")</f>
        <v>CABLE-473-20</v>
      </c>
      <c r="B1890" t="s">
        <v>6</v>
      </c>
      <c r="C1890" s="2" t="s">
        <v>1402</v>
      </c>
      <c r="D1890" s="32"/>
      <c r="E1890" s="35" t="s">
        <v>3010</v>
      </c>
    </row>
    <row r="1891" spans="1:5" x14ac:dyDescent="0.2">
      <c r="A1891" s="34" t="str">
        <f>HYPERLINK("http://www.daganm.co.il/sku/CABLE-473-30","CABLE-473-30")</f>
        <v>CABLE-473-30</v>
      </c>
      <c r="B1891" t="s">
        <v>6</v>
      </c>
      <c r="C1891" s="2" t="s">
        <v>1403</v>
      </c>
      <c r="D1891" s="32"/>
      <c r="E1891" s="35" t="s">
        <v>3011</v>
      </c>
    </row>
    <row r="1892" spans="1:5" x14ac:dyDescent="0.2">
      <c r="B1892"/>
      <c r="C1892" s="33" t="s">
        <v>79</v>
      </c>
      <c r="D1892" s="32"/>
      <c r="E1892" s="35"/>
    </row>
    <row r="1893" spans="1:5" x14ac:dyDescent="0.2">
      <c r="A1893" s="34" t="str">
        <f>HYPERLINK("http://www.daganm.co.il/sku/CABLE-452/15","CABLE-452/15")</f>
        <v>CABLE-452/15</v>
      </c>
      <c r="B1893" t="s">
        <v>6</v>
      </c>
      <c r="C1893" s="2" t="s">
        <v>1404</v>
      </c>
      <c r="D1893" s="32"/>
      <c r="E1893" s="35" t="s">
        <v>3012</v>
      </c>
    </row>
    <row r="1894" spans="1:5" x14ac:dyDescent="0.2">
      <c r="A1894" s="34" t="str">
        <f>HYPERLINK("http://www.daganm.co.il/sku/CABLE-452S/1","CABLE-452S/1")</f>
        <v>CABLE-452S/1</v>
      </c>
      <c r="B1894" t="s">
        <v>6</v>
      </c>
      <c r="C1894" s="2" t="s">
        <v>1405</v>
      </c>
      <c r="D1894" s="32"/>
      <c r="E1894" s="35" t="s">
        <v>3013</v>
      </c>
    </row>
    <row r="1895" spans="1:5" x14ac:dyDescent="0.2">
      <c r="A1895" s="34" t="str">
        <f>HYPERLINK("http://www.daganm.co.il/sku/CABLE-452S/1.8","CABLE-452S/1.8")</f>
        <v>CABLE-452S/1.8</v>
      </c>
      <c r="B1895" t="s">
        <v>6</v>
      </c>
      <c r="C1895" s="2" t="s">
        <v>1406</v>
      </c>
      <c r="D1895" s="32"/>
      <c r="E1895" s="35" t="s">
        <v>3014</v>
      </c>
    </row>
    <row r="1896" spans="1:5" x14ac:dyDescent="0.2">
      <c r="A1896" s="34" t="str">
        <f>HYPERLINK("http://www.daganm.co.il/sku/CABLE-452S/3","CABLE-452S/3")</f>
        <v>CABLE-452S/3</v>
      </c>
      <c r="B1896" t="s">
        <v>6</v>
      </c>
      <c r="C1896" s="2" t="s">
        <v>1407</v>
      </c>
      <c r="D1896" s="32"/>
      <c r="E1896" s="35" t="s">
        <v>3015</v>
      </c>
    </row>
    <row r="1897" spans="1:5" x14ac:dyDescent="0.2">
      <c r="A1897" s="34" t="str">
        <f>HYPERLINK("http://www.daganm.co.il/sku/CABLE-452S/15","CABLE-452S/15")</f>
        <v>CABLE-452S/15</v>
      </c>
      <c r="B1897" t="s">
        <v>6</v>
      </c>
      <c r="C1897" s="2" t="s">
        <v>1408</v>
      </c>
      <c r="D1897" s="32"/>
      <c r="E1897" s="35" t="s">
        <v>3016</v>
      </c>
    </row>
    <row r="1898" spans="1:5" x14ac:dyDescent="0.2">
      <c r="A1898" s="34" t="str">
        <f>HYPERLINK("http://www.daganm.co.il/sku/CABLE-452T/1","CABLE-452T/1")</f>
        <v>CABLE-452T/1</v>
      </c>
      <c r="B1898" t="s">
        <v>6</v>
      </c>
      <c r="C1898" s="2" t="s">
        <v>1409</v>
      </c>
      <c r="D1898" s="32"/>
      <c r="E1898" s="35" t="s">
        <v>3017</v>
      </c>
    </row>
    <row r="1899" spans="1:5" x14ac:dyDescent="0.2">
      <c r="A1899" s="34" t="str">
        <f>HYPERLINK("http://www.daganm.co.il/sku/CABLE-452T/1.8","CABLE-452T/1.8")</f>
        <v>CABLE-452T/1.8</v>
      </c>
      <c r="B1899" t="s">
        <v>6</v>
      </c>
      <c r="C1899" s="2" t="s">
        <v>1410</v>
      </c>
      <c r="D1899" s="32"/>
      <c r="E1899" s="35" t="s">
        <v>3018</v>
      </c>
    </row>
    <row r="1900" spans="1:5" x14ac:dyDescent="0.2">
      <c r="A1900" s="34" t="str">
        <f>HYPERLINK("http://www.daganm.co.il/sku/CABLE-452T/3","CABLE-452T/3")</f>
        <v>CABLE-452T/3</v>
      </c>
      <c r="B1900" t="s">
        <v>6</v>
      </c>
      <c r="C1900" s="2" t="s">
        <v>1411</v>
      </c>
      <c r="D1900" s="32"/>
      <c r="E1900" s="32" t="s">
        <v>3019</v>
      </c>
    </row>
    <row r="1901" spans="1:5" x14ac:dyDescent="0.2">
      <c r="A1901" s="34" t="str">
        <f>HYPERLINK("http://www.daganm.co.il/sku/CABLE-452T/5","CABLE-452T/5")</f>
        <v>CABLE-452T/5</v>
      </c>
      <c r="B1901" t="s">
        <v>6</v>
      </c>
      <c r="C1901" s="2" t="s">
        <v>1412</v>
      </c>
      <c r="D1901" s="32"/>
      <c r="E1901" s="35" t="s">
        <v>3020</v>
      </c>
    </row>
    <row r="1902" spans="1:5" x14ac:dyDescent="0.2">
      <c r="A1902" s="34" t="str">
        <f>HYPERLINK("http://www.daganm.co.il/sku/CABLE-452T/10","CABLE-452T/10")</f>
        <v>CABLE-452T/10</v>
      </c>
      <c r="B1902" t="s">
        <v>6</v>
      </c>
      <c r="C1902" s="2" t="s">
        <v>1413</v>
      </c>
      <c r="D1902" s="32"/>
      <c r="E1902" s="35" t="s">
        <v>3021</v>
      </c>
    </row>
    <row r="1903" spans="1:5" x14ac:dyDescent="0.2">
      <c r="A1903" s="34" t="str">
        <f>HYPERLINK("http://www.daganm.co.il/sku/CABLE-452T/15","CABLE-452T/15")</f>
        <v>CABLE-452T/15</v>
      </c>
      <c r="B1903" t="s">
        <v>6</v>
      </c>
      <c r="C1903" s="2" t="s">
        <v>1414</v>
      </c>
      <c r="D1903" s="32"/>
      <c r="E1903" s="35" t="s">
        <v>3022</v>
      </c>
    </row>
    <row r="1904" spans="1:5" x14ac:dyDescent="0.2">
      <c r="B1904"/>
      <c r="C1904" s="33" t="s">
        <v>80</v>
      </c>
      <c r="D1904" s="32"/>
      <c r="E1904" s="35"/>
    </row>
    <row r="1905" spans="1:5" x14ac:dyDescent="0.2">
      <c r="A1905" s="34" t="str">
        <f>HYPERLINK("http://www.daganm.co.il/sku/CABLE-521LC/1.8","CABLE-521LC/1.8")</f>
        <v>CABLE-521LC/1.8</v>
      </c>
      <c r="B1905" t="s">
        <v>6</v>
      </c>
      <c r="C1905" s="2" t="s">
        <v>1415</v>
      </c>
      <c r="D1905" s="32"/>
      <c r="E1905" s="35" t="s">
        <v>3628</v>
      </c>
    </row>
    <row r="1906" spans="1:5" x14ac:dyDescent="0.2">
      <c r="A1906" s="34" t="str">
        <f>HYPERLINK("http://www.daganm.co.il/sku/CABLE-521LC/3","CABLE-521LC/3")</f>
        <v>CABLE-521LC/3</v>
      </c>
      <c r="B1906" t="s">
        <v>6</v>
      </c>
      <c r="C1906" s="2" t="s">
        <v>1416</v>
      </c>
      <c r="D1906" s="32"/>
      <c r="E1906" s="35" t="s">
        <v>3628</v>
      </c>
    </row>
    <row r="1907" spans="1:5" x14ac:dyDescent="0.2">
      <c r="A1907" s="34" t="str">
        <f>HYPERLINK("http://www.daganm.co.il/sku/CABLE-521S/15","CABLE-521S/15")</f>
        <v>CABLE-521S/15</v>
      </c>
      <c r="B1907" t="s">
        <v>6</v>
      </c>
      <c r="C1907" s="2" t="s">
        <v>1417</v>
      </c>
      <c r="D1907" s="32"/>
      <c r="E1907" s="35" t="s">
        <v>3023</v>
      </c>
    </row>
    <row r="1908" spans="1:5" x14ac:dyDescent="0.2">
      <c r="A1908" s="34" t="str">
        <f>HYPERLINK("http://www.daganm.co.il/sku/CABLE-521S/20","CABLE-521S/20")</f>
        <v>CABLE-521S/20</v>
      </c>
      <c r="B1908" t="s">
        <v>6</v>
      </c>
      <c r="C1908" s="2" t="s">
        <v>1418</v>
      </c>
      <c r="D1908" s="32"/>
      <c r="E1908" s="35" t="s">
        <v>3024</v>
      </c>
    </row>
    <row r="1909" spans="1:5" x14ac:dyDescent="0.2">
      <c r="B1909"/>
      <c r="C1909" s="33" t="s">
        <v>81</v>
      </c>
      <c r="D1909" s="32"/>
      <c r="E1909" s="35"/>
    </row>
    <row r="1910" spans="1:5" x14ac:dyDescent="0.2">
      <c r="A1910" s="34" t="str">
        <f>HYPERLINK("http://www.daganm.co.il/sku/CBL600-2","CBL600-2")</f>
        <v>CBL600-2</v>
      </c>
      <c r="B1910" t="s">
        <v>6</v>
      </c>
      <c r="C1910" s="2" t="s">
        <v>3361</v>
      </c>
      <c r="D1910" s="32"/>
      <c r="E1910" s="35" t="s">
        <v>3494</v>
      </c>
    </row>
    <row r="1911" spans="1:5" x14ac:dyDescent="0.2">
      <c r="A1911" s="34" t="str">
        <f>HYPERLINK("http://www.daganm.co.il/sku/CBL690-1.8","CBL690-1.8")</f>
        <v>CBL690-1.8</v>
      </c>
      <c r="B1911" t="s">
        <v>6</v>
      </c>
      <c r="C1911" s="2" t="s">
        <v>1419</v>
      </c>
      <c r="D1911" s="32"/>
      <c r="E1911" s="35" t="s">
        <v>3025</v>
      </c>
    </row>
    <row r="1912" spans="1:5" x14ac:dyDescent="0.2">
      <c r="A1912" s="34" t="str">
        <f>HYPERLINK("http://www.daganm.co.il/sku/CABLE-275/1.8","CABLE-275/1.8")</f>
        <v>CABLE-275/1.8</v>
      </c>
      <c r="B1912" t="s">
        <v>6</v>
      </c>
      <c r="C1912" s="2" t="s">
        <v>1201</v>
      </c>
      <c r="D1912" s="32"/>
      <c r="E1912" s="35" t="s">
        <v>2810</v>
      </c>
    </row>
    <row r="1913" spans="1:5" ht="16.5" x14ac:dyDescent="0.25">
      <c r="B1913"/>
      <c r="C1913" s="31" t="s">
        <v>3590</v>
      </c>
      <c r="D1913" s="32"/>
      <c r="E1913" s="35"/>
    </row>
    <row r="1914" spans="1:5" x14ac:dyDescent="0.2">
      <c r="B1914"/>
      <c r="C1914" s="33" t="s">
        <v>3591</v>
      </c>
      <c r="D1914" s="32"/>
      <c r="E1914" s="35"/>
    </row>
    <row r="1915" spans="1:5" x14ac:dyDescent="0.2">
      <c r="A1915" s="34" t="str">
        <f>HYPERLINK("http://www.daganm.co.il/sku/LSP1-18.2.100","LSP1-18.2.100")</f>
        <v>LSP1-18.2.100</v>
      </c>
      <c r="B1915" t="s">
        <v>718</v>
      </c>
      <c r="C1915" s="2" t="s">
        <v>1420</v>
      </c>
      <c r="D1915" s="32"/>
      <c r="E1915" s="32" t="s">
        <v>3026</v>
      </c>
    </row>
    <row r="1916" spans="1:5" x14ac:dyDescent="0.2">
      <c r="A1916" s="34" t="str">
        <f>HYPERLINK("http://www.daganm.co.il/sku/LSP1-16.2.100","LSP1-16.2.100")</f>
        <v>LSP1-16.2.100</v>
      </c>
      <c r="B1916" t="s">
        <v>718</v>
      </c>
      <c r="C1916" s="2" t="s">
        <v>1421</v>
      </c>
      <c r="D1916" s="32"/>
      <c r="E1916" s="32" t="s">
        <v>3027</v>
      </c>
    </row>
    <row r="1917" spans="1:5" x14ac:dyDescent="0.2">
      <c r="A1917" s="34" t="str">
        <f>HYPERLINK("http://www.daganm.co.il/sku/LSP1-16.2.150","LSP1-16.2.150")</f>
        <v>LSP1-16.2.150</v>
      </c>
      <c r="B1917" t="s">
        <v>718</v>
      </c>
      <c r="C1917" s="2" t="s">
        <v>1422</v>
      </c>
      <c r="D1917" s="32"/>
      <c r="E1917" s="35" t="s">
        <v>3028</v>
      </c>
    </row>
    <row r="1918" spans="1:5" x14ac:dyDescent="0.2">
      <c r="A1918" s="34" t="str">
        <f>HYPERLINK("http://www.daganm.co.il/sku/LSP1-14.2.150","LSP1-14.2.150")</f>
        <v>LSP1-14.2.150</v>
      </c>
      <c r="B1918" t="s">
        <v>718</v>
      </c>
      <c r="C1918" s="2" t="s">
        <v>1423</v>
      </c>
      <c r="D1918" s="32"/>
      <c r="E1918" s="35" t="s">
        <v>3029</v>
      </c>
    </row>
    <row r="1919" spans="1:5" x14ac:dyDescent="0.2">
      <c r="A1919" s="34" t="str">
        <f>HYPERLINK("http://www.daganm.co.il/sku/LSP4-16.2.150","LSP4-16.2.150")</f>
        <v>LSP4-16.2.150</v>
      </c>
      <c r="B1919" t="s">
        <v>718</v>
      </c>
      <c r="C1919" s="2" t="s">
        <v>1424</v>
      </c>
      <c r="D1919" s="32"/>
      <c r="E1919" s="35" t="s">
        <v>3030</v>
      </c>
    </row>
    <row r="1920" spans="1:5" x14ac:dyDescent="0.2">
      <c r="A1920" s="34" t="str">
        <f>HYPERLINK("http://www.daganm.co.il/sku/LSP4-14.2.150","LSP4-14.2.150")</f>
        <v>LSP4-14.2.150</v>
      </c>
      <c r="B1920" t="s">
        <v>718</v>
      </c>
      <c r="C1920" s="2" t="s">
        <v>1425</v>
      </c>
      <c r="D1920" s="32"/>
      <c r="E1920" s="35" t="s">
        <v>3031</v>
      </c>
    </row>
    <row r="1921" spans="1:5" x14ac:dyDescent="0.2">
      <c r="A1921" s="34" t="str">
        <f>HYPERLINK("http://www.daganm.co.il/sku/LSP7-14.2.150","LSP7-14.2.150")</f>
        <v>LSP7-14.2.150</v>
      </c>
      <c r="B1921" t="s">
        <v>718</v>
      </c>
      <c r="C1921" s="2" t="s">
        <v>1426</v>
      </c>
      <c r="D1921" s="32"/>
      <c r="E1921" s="35" t="s">
        <v>3032</v>
      </c>
    </row>
    <row r="1922" spans="1:5" x14ac:dyDescent="0.2">
      <c r="A1922" s="34" t="str">
        <f>HYPERLINK("http://www.daganm.co.il/sku/LSP-032","LSP-032")</f>
        <v>LSP-032</v>
      </c>
      <c r="B1922" t="s">
        <v>718</v>
      </c>
      <c r="C1922" s="2" t="s">
        <v>1427</v>
      </c>
      <c r="D1922" s="32"/>
      <c r="E1922" s="35" t="s">
        <v>3033</v>
      </c>
    </row>
    <row r="1923" spans="1:5" x14ac:dyDescent="0.2">
      <c r="A1923" s="34" t="str">
        <f>HYPERLINK("http://www.daganm.co.il/sku/LSP-034","LSP-034")</f>
        <v>LSP-034</v>
      </c>
      <c r="B1923" t="s">
        <v>718</v>
      </c>
      <c r="C1923" s="2" t="s">
        <v>1428</v>
      </c>
      <c r="D1923" s="32"/>
      <c r="E1923" s="35" t="s">
        <v>3034</v>
      </c>
    </row>
    <row r="1924" spans="1:5" x14ac:dyDescent="0.2">
      <c r="B1924"/>
      <c r="C1924" s="33" t="s">
        <v>3592</v>
      </c>
      <c r="D1924" s="32"/>
      <c r="E1924" s="35"/>
    </row>
    <row r="1925" spans="1:5" x14ac:dyDescent="0.2">
      <c r="A1925" s="34" t="str">
        <f>HYPERLINK("http://www.daganm.co.il/sku/RLTP35-6100","RLTP35-6100")</f>
        <v>RLTP35-6100</v>
      </c>
      <c r="B1925" t="s">
        <v>718</v>
      </c>
      <c r="C1925" s="2" t="s">
        <v>4178</v>
      </c>
      <c r="D1925" s="32" t="s">
        <v>2</v>
      </c>
      <c r="E1925" s="35" t="s">
        <v>4297</v>
      </c>
    </row>
    <row r="1926" spans="1:5" x14ac:dyDescent="0.2">
      <c r="A1926" s="34" t="str">
        <f>HYPERLINK("http://www.daganm.co.il/sku/RLTP35-6305","RLTP35-6305")</f>
        <v>RLTP35-6305</v>
      </c>
      <c r="B1926" t="s">
        <v>718</v>
      </c>
      <c r="C1926" s="2" t="s">
        <v>4179</v>
      </c>
      <c r="D1926" s="32" t="s">
        <v>2</v>
      </c>
      <c r="E1926" s="35" t="s">
        <v>4298</v>
      </c>
    </row>
    <row r="1927" spans="1:5" x14ac:dyDescent="0.2">
      <c r="A1927" s="34" t="str">
        <f>HYPERLINK("http://www.daganm.co.il/sku/RLTP59-6305","RLTP59-6305")</f>
        <v>RLTP59-6305</v>
      </c>
      <c r="B1927" t="s">
        <v>718</v>
      </c>
      <c r="C1927" s="2" t="s">
        <v>4180</v>
      </c>
      <c r="D1927" s="32" t="s">
        <v>2</v>
      </c>
      <c r="E1927" s="35" t="s">
        <v>4299</v>
      </c>
    </row>
    <row r="1928" spans="1:5" x14ac:dyDescent="0.2">
      <c r="A1928" s="34" t="str">
        <f>HYPERLINK("http://www.daganm.co.il/sku/RLTP27-6100","RLTP27-6100")</f>
        <v>RLTP27-6100</v>
      </c>
      <c r="B1928" t="s">
        <v>718</v>
      </c>
      <c r="C1928" s="2" t="s">
        <v>4181</v>
      </c>
      <c r="D1928" s="32" t="s">
        <v>2</v>
      </c>
      <c r="E1928" s="35" t="s">
        <v>4300</v>
      </c>
    </row>
    <row r="1929" spans="1:5" x14ac:dyDescent="0.2">
      <c r="A1929" s="34" t="str">
        <f>HYPERLINK("http://www.daganm.co.il/sku/RLTP48-6A100","RLTP48-6A100")</f>
        <v>RLTP48-6A100</v>
      </c>
      <c r="B1929" t="s">
        <v>718</v>
      </c>
      <c r="C1929" s="2" t="s">
        <v>4182</v>
      </c>
      <c r="D1929" s="32" t="s">
        <v>2</v>
      </c>
      <c r="E1929" s="35" t="s">
        <v>4301</v>
      </c>
    </row>
    <row r="1930" spans="1:5" x14ac:dyDescent="0.2">
      <c r="A1930" s="34" t="str">
        <f>HYPERLINK("http://www.daganm.co.il/sku/RLTP48-6A300","RLTP48-6A300")</f>
        <v>RLTP48-6A300</v>
      </c>
      <c r="B1930" t="s">
        <v>718</v>
      </c>
      <c r="C1930" s="2" t="s">
        <v>4183</v>
      </c>
      <c r="D1930" s="32" t="s">
        <v>2</v>
      </c>
      <c r="E1930" s="35" t="s">
        <v>4302</v>
      </c>
    </row>
    <row r="1931" spans="1:5" x14ac:dyDescent="0.2">
      <c r="A1931" s="34" t="str">
        <f>HYPERLINK("http://www.daganm.co.il/sku/RLTP73-7100","RLTP73-7100")</f>
        <v>RLTP73-7100</v>
      </c>
      <c r="B1931" t="s">
        <v>718</v>
      </c>
      <c r="C1931" s="2" t="s">
        <v>4184</v>
      </c>
      <c r="D1931" s="36" t="s">
        <v>2</v>
      </c>
      <c r="E1931" s="35" t="s">
        <v>4303</v>
      </c>
    </row>
    <row r="1932" spans="1:5" x14ac:dyDescent="0.2">
      <c r="A1932" s="34" t="str">
        <f>HYPERLINK("http://www.daganm.co.il/sku/RLTP73-7300","RLTP73-7300")</f>
        <v>RLTP73-7300</v>
      </c>
      <c r="B1932" t="s">
        <v>718</v>
      </c>
      <c r="C1932" s="2" t="s">
        <v>4185</v>
      </c>
      <c r="D1932" s="36" t="s">
        <v>2</v>
      </c>
      <c r="E1932" s="35" t="s">
        <v>4304</v>
      </c>
    </row>
    <row r="1933" spans="1:5" x14ac:dyDescent="0.2">
      <c r="A1933" s="34" t="str">
        <f>HYPERLINK("http://www.daganm.co.il/sku/RLTP09-5E100","RLTP09-5E100")</f>
        <v>RLTP09-5E100</v>
      </c>
      <c r="B1933" t="s">
        <v>718</v>
      </c>
      <c r="C1933" s="2" t="s">
        <v>3898</v>
      </c>
      <c r="D1933" s="32" t="s">
        <v>2</v>
      </c>
      <c r="E1933" s="35" t="s">
        <v>4305</v>
      </c>
    </row>
    <row r="1934" spans="1:5" x14ac:dyDescent="0.2">
      <c r="A1934" s="34" t="str">
        <f>HYPERLINK("http://www.daganm.co.il/sku/RLTP12-5E100","RLTP12-5E100")</f>
        <v>RLTP12-5E100</v>
      </c>
      <c r="B1934" t="s">
        <v>718</v>
      </c>
      <c r="C1934" s="2" t="s">
        <v>4186</v>
      </c>
      <c r="D1934" s="32" t="s">
        <v>2</v>
      </c>
      <c r="E1934" s="35" t="s">
        <v>4306</v>
      </c>
    </row>
    <row r="1935" spans="1:5" x14ac:dyDescent="0.2">
      <c r="A1935" s="34" t="str">
        <f>HYPERLINK("http://www.daganm.co.il/sku/RLTP12-5E305","RLTP12-5E305")</f>
        <v>RLTP12-5E305</v>
      </c>
      <c r="B1935" t="s">
        <v>718</v>
      </c>
      <c r="C1935" s="2" t="s">
        <v>4187</v>
      </c>
      <c r="D1935" s="32" t="s">
        <v>1630</v>
      </c>
      <c r="E1935" s="35" t="s">
        <v>4307</v>
      </c>
    </row>
    <row r="1936" spans="1:5" x14ac:dyDescent="0.2">
      <c r="A1936" s="34" t="str">
        <f>HYPERLINK("http://www.daganm.co.il/sku/CX-001LC-POW","CX-001LC-POW")</f>
        <v>CX-001LC-POW</v>
      </c>
      <c r="B1936" t="s">
        <v>718</v>
      </c>
      <c r="C1936" s="2" t="s">
        <v>1429</v>
      </c>
      <c r="D1936" s="32" t="s">
        <v>2</v>
      </c>
      <c r="E1936" s="35" t="s">
        <v>3035</v>
      </c>
    </row>
    <row r="1937" spans="1:5" x14ac:dyDescent="0.2">
      <c r="A1937" s="34" t="str">
        <f>HYPERLINK("http://www.daganm.co.il/sku/CX-RG6-100-KN","CX-RG6-100-KN")</f>
        <v>CX-RG6-100-KN</v>
      </c>
      <c r="B1937" t="s">
        <v>718</v>
      </c>
      <c r="C1937" s="2" t="s">
        <v>1430</v>
      </c>
      <c r="D1937" s="36" t="s">
        <v>2</v>
      </c>
      <c r="E1937" s="35" t="s">
        <v>3036</v>
      </c>
    </row>
    <row r="1938" spans="1:5" ht="16.5" x14ac:dyDescent="0.25">
      <c r="B1938"/>
      <c r="C1938" s="31" t="s">
        <v>82</v>
      </c>
      <c r="D1938" s="32"/>
      <c r="E1938" s="35"/>
    </row>
    <row r="1939" spans="1:5" x14ac:dyDescent="0.2">
      <c r="B1939"/>
      <c r="C1939" s="33" t="s">
        <v>83</v>
      </c>
      <c r="D1939" s="32"/>
      <c r="E1939" s="35"/>
    </row>
    <row r="1940" spans="1:5" x14ac:dyDescent="0.2">
      <c r="A1940" s="34" t="str">
        <f>HYPERLINK("http://www.daganm.co.il/sku/VC-007GP","VC-007GP")</f>
        <v>VC-007GP</v>
      </c>
      <c r="B1940" t="s">
        <v>6</v>
      </c>
      <c r="C1940" s="2" t="s">
        <v>1431</v>
      </c>
      <c r="D1940" s="32"/>
      <c r="E1940" s="32" t="s">
        <v>3037</v>
      </c>
    </row>
    <row r="1941" spans="1:5" x14ac:dyDescent="0.2">
      <c r="A1941" s="34" t="str">
        <f>HYPERLINK("http://www.daganm.co.il/sku/AC-047P","AC-047P")</f>
        <v>AC-047P</v>
      </c>
      <c r="B1941" t="s">
        <v>6</v>
      </c>
      <c r="C1941" s="2" t="s">
        <v>1432</v>
      </c>
      <c r="D1941" s="32"/>
      <c r="E1941" s="35" t="s">
        <v>3038</v>
      </c>
    </row>
    <row r="1942" spans="1:5" x14ac:dyDescent="0.2">
      <c r="A1942" s="34" t="str">
        <f>HYPERLINK("http://www.daganm.co.il/sku/BNC-007P","BNC-007P")</f>
        <v>BNC-007P</v>
      </c>
      <c r="B1942" t="s">
        <v>6</v>
      </c>
      <c r="C1942" s="2" t="s">
        <v>1433</v>
      </c>
      <c r="D1942" s="32"/>
      <c r="E1942" s="35" t="s">
        <v>3039</v>
      </c>
    </row>
    <row r="1943" spans="1:5" x14ac:dyDescent="0.2">
      <c r="A1943" s="34" t="str">
        <f>HYPERLINK("http://www.daganm.co.il/sku/KEYS-HDMI1","KEYS-HDMI1")</f>
        <v>KEYS-HDMI1</v>
      </c>
      <c r="B1943" t="s">
        <v>6</v>
      </c>
      <c r="C1943" s="2" t="s">
        <v>1434</v>
      </c>
      <c r="D1943" s="32"/>
      <c r="E1943" s="35" t="s">
        <v>3040</v>
      </c>
    </row>
    <row r="1944" spans="1:5" x14ac:dyDescent="0.2">
      <c r="A1944" s="34" t="str">
        <f>HYPERLINK("http://www.daganm.co.il/sku/KEYS-HDMI3","KEYS-HDMI3")</f>
        <v>KEYS-HDMI3</v>
      </c>
      <c r="B1944" t="s">
        <v>6</v>
      </c>
      <c r="C1944" s="2" t="s">
        <v>1435</v>
      </c>
      <c r="D1944" s="32"/>
      <c r="E1944" s="35" t="s">
        <v>3041</v>
      </c>
    </row>
    <row r="1945" spans="1:5" x14ac:dyDescent="0.2">
      <c r="A1945" s="34" t="str">
        <f>HYPERLINK("http://www.daganm.co.il/sku/KEYS-USB2-1","KEYS-USB2-1")</f>
        <v>KEYS-USB2-1</v>
      </c>
      <c r="B1945" t="s">
        <v>6</v>
      </c>
      <c r="C1945" s="2" t="s">
        <v>1436</v>
      </c>
      <c r="D1945" s="32"/>
      <c r="E1945" s="35" t="s">
        <v>3042</v>
      </c>
    </row>
    <row r="1946" spans="1:5" x14ac:dyDescent="0.2">
      <c r="A1946" s="34" t="str">
        <f>HYPERLINK("http://www.daganm.co.il/sku/KEYS-USB3-1","KEYS-USB3-1")</f>
        <v>KEYS-USB3-1</v>
      </c>
      <c r="B1946" t="s">
        <v>6</v>
      </c>
      <c r="C1946" s="2" t="s">
        <v>1437</v>
      </c>
      <c r="D1946" s="32"/>
      <c r="E1946" s="35" t="s">
        <v>3043</v>
      </c>
    </row>
    <row r="1947" spans="1:5" x14ac:dyDescent="0.2">
      <c r="A1947" s="34" t="str">
        <f>HYPERLINK("http://www.daganm.co.il/sku/KEYS-USB3-2","KEYS-USB3-2")</f>
        <v>KEYS-USB3-2</v>
      </c>
      <c r="B1947" t="s">
        <v>6</v>
      </c>
      <c r="C1947" s="2" t="s">
        <v>1438</v>
      </c>
      <c r="D1947" s="32"/>
      <c r="E1947" s="35" t="s">
        <v>3044</v>
      </c>
    </row>
    <row r="1948" spans="1:5" x14ac:dyDescent="0.2">
      <c r="A1948" s="34" t="str">
        <f>HYPERLINK("http://www.daganm.co.il/sku/KEYS-USB-C","KEYS-USB-C")</f>
        <v>KEYS-USB-C</v>
      </c>
      <c r="B1948" t="s">
        <v>6</v>
      </c>
      <c r="C1948" s="2" t="s">
        <v>1439</v>
      </c>
      <c r="D1948" s="32"/>
      <c r="E1948" s="35" t="s">
        <v>3045</v>
      </c>
    </row>
    <row r="1949" spans="1:5" x14ac:dyDescent="0.2">
      <c r="A1949" s="34" t="str">
        <f>HYPERLINK("http://www.daganm.co.il/sku/KEYS-PL1","KEYS-PL1")</f>
        <v>KEYS-PL1</v>
      </c>
      <c r="B1949" t="s">
        <v>6</v>
      </c>
      <c r="C1949" s="2" t="s">
        <v>1440</v>
      </c>
      <c r="D1949" s="32"/>
      <c r="E1949" s="35" t="s">
        <v>3046</v>
      </c>
    </row>
    <row r="1950" spans="1:5" x14ac:dyDescent="0.2">
      <c r="A1950" s="34" t="str">
        <f>HYPERLINK("http://www.daganm.co.il/sku/KEYS-RCA1/YE","KEYS-RCA1/YE")</f>
        <v>KEYS-RCA1/YE</v>
      </c>
      <c r="B1950" t="s">
        <v>6</v>
      </c>
      <c r="C1950" s="2" t="s">
        <v>1441</v>
      </c>
      <c r="D1950" s="32"/>
      <c r="E1950" s="35" t="s">
        <v>3047</v>
      </c>
    </row>
    <row r="1951" spans="1:5" x14ac:dyDescent="0.2">
      <c r="A1951" s="34" t="str">
        <f>HYPERLINK("http://www.daganm.co.il/sku/KEYS-RCA1/RE","KEYS-RCA1/RE")</f>
        <v>KEYS-RCA1/RE</v>
      </c>
      <c r="B1951" t="s">
        <v>6</v>
      </c>
      <c r="C1951" s="2" t="s">
        <v>1442</v>
      </c>
      <c r="D1951" s="32"/>
      <c r="E1951" s="35" t="s">
        <v>3048</v>
      </c>
    </row>
    <row r="1952" spans="1:5" x14ac:dyDescent="0.2">
      <c r="A1952" s="34" t="str">
        <f>HYPERLINK("http://www.daganm.co.il/sku/KEYS-RCA1/WH","KEYS-RCA1/WH")</f>
        <v>KEYS-RCA1/WH</v>
      </c>
      <c r="B1952" t="s">
        <v>6</v>
      </c>
      <c r="C1952" s="2" t="s">
        <v>1443</v>
      </c>
      <c r="D1952" s="32"/>
      <c r="E1952" s="35" t="s">
        <v>3049</v>
      </c>
    </row>
    <row r="1953" spans="1:5" x14ac:dyDescent="0.2">
      <c r="A1953" s="34" t="str">
        <f>HYPERLINK("http://www.daganm.co.il/sku/KEYS-OPTA20","KEYS-OPTA20")</f>
        <v>KEYS-OPTA20</v>
      </c>
      <c r="B1953" t="s">
        <v>6</v>
      </c>
      <c r="C1953" s="2" t="s">
        <v>1445</v>
      </c>
      <c r="D1953" s="32"/>
      <c r="E1953" s="35" t="s">
        <v>3051</v>
      </c>
    </row>
    <row r="1954" spans="1:5" x14ac:dyDescent="0.2">
      <c r="A1954" s="34" t="str">
        <f>HYPERLINK("http://www.daganm.co.il/sku/KEYS-BLANK-B","KEYS-BLANK-B")</f>
        <v>KEYS-BLANK-B</v>
      </c>
      <c r="B1954" t="s">
        <v>6</v>
      </c>
      <c r="C1954" s="2" t="s">
        <v>3899</v>
      </c>
      <c r="D1954" s="32">
        <v>45442</v>
      </c>
      <c r="E1954" s="35" t="s">
        <v>4043</v>
      </c>
    </row>
    <row r="1955" spans="1:5" x14ac:dyDescent="0.2">
      <c r="A1955" s="34" t="str">
        <f>HYPERLINK("http://www.daganm.co.il/sku/KEYS-BLANK-W","KEYS-BLANK-W")</f>
        <v>KEYS-BLANK-W</v>
      </c>
      <c r="B1955" t="s">
        <v>6</v>
      </c>
      <c r="C1955" s="2" t="s">
        <v>3900</v>
      </c>
      <c r="D1955" s="32">
        <v>45442</v>
      </c>
      <c r="E1955" s="35" t="s">
        <v>4044</v>
      </c>
    </row>
    <row r="1956" spans="1:5" x14ac:dyDescent="0.2">
      <c r="A1956" s="34" t="str">
        <f>HYPERLINK("http://www.daganm.co.il/sku/GWS-KEYS2","GWS-KEYS2")</f>
        <v>GWS-KEYS2</v>
      </c>
      <c r="B1956" t="s">
        <v>6</v>
      </c>
      <c r="C1956" s="2" t="s">
        <v>1444</v>
      </c>
      <c r="D1956" s="32"/>
      <c r="E1956" s="35" t="s">
        <v>3050</v>
      </c>
    </row>
    <row r="1957" spans="1:5" x14ac:dyDescent="0.2">
      <c r="A1957" s="34" t="str">
        <f>HYPERLINK("http://www.daganm.co.il/sku/GWS-BLANK","GWS-BLANK")</f>
        <v>GWS-BLANK</v>
      </c>
      <c r="B1957" t="s">
        <v>6</v>
      </c>
      <c r="C1957" s="2" t="s">
        <v>1447</v>
      </c>
      <c r="D1957" s="32"/>
      <c r="E1957" s="35" t="s">
        <v>3053</v>
      </c>
    </row>
    <row r="1958" spans="1:5" x14ac:dyDescent="0.2">
      <c r="A1958" s="34" t="str">
        <f>HYPERLINK("http://www.daganm.co.il/sku/GWS-VGA1","GWS-VGA1")</f>
        <v>GWS-VGA1</v>
      </c>
      <c r="B1958" t="s">
        <v>6</v>
      </c>
      <c r="C1958" s="2" t="s">
        <v>1446</v>
      </c>
      <c r="D1958" s="32" t="s">
        <v>2</v>
      </c>
      <c r="E1958" s="35" t="s">
        <v>3052</v>
      </c>
    </row>
    <row r="1959" spans="1:5" x14ac:dyDescent="0.2">
      <c r="A1959" s="34" t="str">
        <f>HYPERLINK("http://www.daganm.co.il/sku/GRN-KEYS","GRN-KEYS1")</f>
        <v>GRN-KEYS1</v>
      </c>
      <c r="B1959" t="s">
        <v>6</v>
      </c>
      <c r="C1959" s="2" t="s">
        <v>3901</v>
      </c>
      <c r="D1959" s="32"/>
      <c r="E1959" s="35" t="s">
        <v>3054</v>
      </c>
    </row>
    <row r="1960" spans="1:5" x14ac:dyDescent="0.2">
      <c r="A1960" s="34" t="str">
        <f>HYPERLINK("http://www.daganm.co.il/sku/GRN-KEYS","GRN-KEYS2")</f>
        <v>GRN-KEYS2</v>
      </c>
      <c r="B1960" t="s">
        <v>6</v>
      </c>
      <c r="C1960" s="2" t="s">
        <v>3902</v>
      </c>
      <c r="D1960" s="32"/>
      <c r="E1960" s="35" t="s">
        <v>4045</v>
      </c>
    </row>
    <row r="1961" spans="1:5" x14ac:dyDescent="0.2">
      <c r="A1961" s="34" t="str">
        <f>HYPERLINK("http://www.daganm.co.il/sku/BTC-KEYS1","BTC-KEYS1")</f>
        <v>BTC-KEYS1</v>
      </c>
      <c r="B1961" t="s">
        <v>6</v>
      </c>
      <c r="C1961" s="2" t="s">
        <v>1448</v>
      </c>
      <c r="D1961" s="32" t="s">
        <v>2</v>
      </c>
      <c r="E1961" s="35" t="s">
        <v>3055</v>
      </c>
    </row>
    <row r="1962" spans="1:5" x14ac:dyDescent="0.2">
      <c r="B1962"/>
      <c r="C1962" s="33" t="s">
        <v>84</v>
      </c>
      <c r="D1962" s="32"/>
      <c r="E1962" s="35"/>
    </row>
    <row r="1963" spans="1:5" x14ac:dyDescent="0.2">
      <c r="A1963" s="34" t="str">
        <f>HYPERLINK("http://www.daganm.co.il/sku/AC-005","AC-005")</f>
        <v>AC-005</v>
      </c>
      <c r="B1963" t="s">
        <v>6</v>
      </c>
      <c r="C1963" s="2" t="s">
        <v>1449</v>
      </c>
      <c r="D1963" s="32"/>
      <c r="E1963" s="35" t="s">
        <v>3056</v>
      </c>
    </row>
    <row r="1964" spans="1:5" x14ac:dyDescent="0.2">
      <c r="A1964" s="34" t="str">
        <f>HYPERLINK("http://www.daganm.co.il/sku/AC-005M","AC-005M")</f>
        <v>AC-005M</v>
      </c>
      <c r="B1964" t="s">
        <v>6</v>
      </c>
      <c r="C1964" s="2" t="s">
        <v>1450</v>
      </c>
      <c r="D1964" s="32"/>
      <c r="E1964" s="35" t="s">
        <v>3057</v>
      </c>
    </row>
    <row r="1965" spans="1:5" x14ac:dyDescent="0.2">
      <c r="A1965" s="34" t="str">
        <f>HYPERLINK("http://www.daganm.co.il/sku/AC-006","AC-006")</f>
        <v>AC-006</v>
      </c>
      <c r="B1965" t="s">
        <v>6</v>
      </c>
      <c r="C1965" s="2" t="s">
        <v>1451</v>
      </c>
      <c r="D1965" s="32"/>
      <c r="E1965" s="35" t="s">
        <v>3058</v>
      </c>
    </row>
    <row r="1966" spans="1:5" x14ac:dyDescent="0.2">
      <c r="A1966" s="34" t="str">
        <f>HYPERLINK("http://www.daganm.co.il/sku/AC-007","AC-007")</f>
        <v>AC-007</v>
      </c>
      <c r="B1966" t="s">
        <v>6</v>
      </c>
      <c r="C1966" s="2" t="s">
        <v>1452</v>
      </c>
      <c r="D1966" s="32">
        <v>45442</v>
      </c>
      <c r="E1966" s="35" t="s">
        <v>3059</v>
      </c>
    </row>
    <row r="1967" spans="1:5" x14ac:dyDescent="0.2">
      <c r="A1967" s="34" t="str">
        <f>HYPERLINK("http://www.daganm.co.il/sku/AC-007M","AC-007M")</f>
        <v>AC-007M</v>
      </c>
      <c r="B1967" t="s">
        <v>6</v>
      </c>
      <c r="C1967" s="2" t="s">
        <v>1453</v>
      </c>
      <c r="D1967" s="32"/>
      <c r="E1967" s="35" t="s">
        <v>3060</v>
      </c>
    </row>
    <row r="1968" spans="1:5" x14ac:dyDescent="0.2">
      <c r="A1968" s="34" t="str">
        <f>HYPERLINK("http://www.daganm.co.il/sku/AC-010","AC-010")</f>
        <v>AC-010</v>
      </c>
      <c r="B1968" t="s">
        <v>6</v>
      </c>
      <c r="C1968" s="2" t="s">
        <v>1454</v>
      </c>
      <c r="D1968" s="32"/>
      <c r="E1968" s="35" t="s">
        <v>3061</v>
      </c>
    </row>
    <row r="1969" spans="1:5" x14ac:dyDescent="0.2">
      <c r="A1969" s="34" t="str">
        <f>HYPERLINK("http://www.daganm.co.il/sku/AC-012","AC-012")</f>
        <v>AC-012</v>
      </c>
      <c r="B1969" t="s">
        <v>6</v>
      </c>
      <c r="C1969" s="2" t="s">
        <v>1455</v>
      </c>
      <c r="D1969" s="32"/>
      <c r="E1969" s="35" t="s">
        <v>3062</v>
      </c>
    </row>
    <row r="1970" spans="1:5" x14ac:dyDescent="0.2">
      <c r="A1970" s="34" t="str">
        <f>HYPERLINK("http://www.daganm.co.il/sku/AC-012X6","AC-012X6")</f>
        <v>AC-012X6</v>
      </c>
      <c r="B1970" t="s">
        <v>6</v>
      </c>
      <c r="C1970" s="2" t="s">
        <v>1456</v>
      </c>
      <c r="D1970" s="32"/>
      <c r="E1970" s="35" t="s">
        <v>3063</v>
      </c>
    </row>
    <row r="1971" spans="1:5" x14ac:dyDescent="0.2">
      <c r="A1971" s="34" t="str">
        <f>HYPERLINK("http://www.daganm.co.il/sku/AC-018","AC-018")</f>
        <v>AC-018</v>
      </c>
      <c r="B1971" t="s">
        <v>6</v>
      </c>
      <c r="C1971" s="2" t="s">
        <v>1457</v>
      </c>
      <c r="D1971" s="36"/>
      <c r="E1971" s="35" t="s">
        <v>3064</v>
      </c>
    </row>
    <row r="1972" spans="1:5" x14ac:dyDescent="0.2">
      <c r="A1972" s="34" t="str">
        <f>HYPERLINK("http://www.daganm.co.il/sku/AC-021","AC-021")</f>
        <v>AC-021</v>
      </c>
      <c r="B1972" t="s">
        <v>6</v>
      </c>
      <c r="C1972" s="2" t="s">
        <v>1458</v>
      </c>
      <c r="D1972" s="32"/>
      <c r="E1972" s="35" t="s">
        <v>3065</v>
      </c>
    </row>
    <row r="1973" spans="1:5" x14ac:dyDescent="0.2">
      <c r="A1973" s="34" t="str">
        <f>HYPERLINK("http://www.daganm.co.il/sku/AC-021M","AC-021M")</f>
        <v>AC-021M</v>
      </c>
      <c r="B1973" t="s">
        <v>6</v>
      </c>
      <c r="C1973" s="2" t="s">
        <v>1459</v>
      </c>
      <c r="D1973" s="32"/>
      <c r="E1973" s="32" t="s">
        <v>3066</v>
      </c>
    </row>
    <row r="1974" spans="1:5" x14ac:dyDescent="0.2">
      <c r="A1974" s="34" t="str">
        <f>HYPERLINK("http://www.daganm.co.il/sku/AC-025","AC-025")</f>
        <v>AC-025</v>
      </c>
      <c r="B1974" t="s">
        <v>6</v>
      </c>
      <c r="C1974" s="2" t="s">
        <v>1460</v>
      </c>
      <c r="D1974" s="32">
        <v>45442</v>
      </c>
      <c r="E1974" s="35" t="s">
        <v>3067</v>
      </c>
    </row>
    <row r="1975" spans="1:5" x14ac:dyDescent="0.2">
      <c r="A1975" s="34" t="str">
        <f>HYPERLINK("http://www.daganm.co.il/sku/AC-047","AC-047")</f>
        <v>AC-047</v>
      </c>
      <c r="B1975" t="s">
        <v>6</v>
      </c>
      <c r="C1975" s="2" t="s">
        <v>1461</v>
      </c>
      <c r="D1975" s="32"/>
      <c r="E1975" s="35" t="s">
        <v>3068</v>
      </c>
    </row>
    <row r="1976" spans="1:5" x14ac:dyDescent="0.2">
      <c r="A1976" s="34" t="str">
        <f>HYPERLINK("http://www.daganm.co.il/sku/AC-048","AC-048")</f>
        <v>AC-048</v>
      </c>
      <c r="B1976" t="s">
        <v>6</v>
      </c>
      <c r="C1976" s="2" t="s">
        <v>1462</v>
      </c>
      <c r="D1976" s="32"/>
      <c r="E1976" s="35" t="s">
        <v>3069</v>
      </c>
    </row>
    <row r="1977" spans="1:5" x14ac:dyDescent="0.2">
      <c r="A1977" s="34" t="str">
        <f>HYPERLINK("http://www.daganm.co.il/sku/AC-054","AC-054")</f>
        <v>AC-054</v>
      </c>
      <c r="B1977" t="s">
        <v>6</v>
      </c>
      <c r="C1977" s="2" t="s">
        <v>1463</v>
      </c>
      <c r="D1977" s="32"/>
      <c r="E1977" s="35" t="s">
        <v>3070</v>
      </c>
    </row>
    <row r="1978" spans="1:5" x14ac:dyDescent="0.2">
      <c r="A1978" s="34" t="str">
        <f>HYPERLINK("http://www.daganm.co.il/sku/AC-055","AC-055")</f>
        <v>AC-055</v>
      </c>
      <c r="B1978" t="s">
        <v>6</v>
      </c>
      <c r="C1978" s="2" t="s">
        <v>1464</v>
      </c>
      <c r="D1978" s="32"/>
      <c r="E1978" s="35" t="s">
        <v>3071</v>
      </c>
    </row>
    <row r="1979" spans="1:5" x14ac:dyDescent="0.2">
      <c r="A1979" s="34" t="str">
        <f>HYPERLINK("http://www.daganm.co.il/sku/AC-056","AC-056")</f>
        <v>AC-056</v>
      </c>
      <c r="B1979" t="s">
        <v>6</v>
      </c>
      <c r="C1979" s="2" t="s">
        <v>1465</v>
      </c>
      <c r="D1979" s="32"/>
      <c r="E1979" s="35" t="s">
        <v>3072</v>
      </c>
    </row>
    <row r="1980" spans="1:5" x14ac:dyDescent="0.2">
      <c r="A1980" s="34" t="str">
        <f>HYPERLINK("http://www.daganm.co.il/sku/AC-065","AC-065")</f>
        <v>AC-065</v>
      </c>
      <c r="B1980" t="s">
        <v>6</v>
      </c>
      <c r="C1980" s="2" t="s">
        <v>1466</v>
      </c>
      <c r="D1980" s="32"/>
      <c r="E1980" s="35" t="s">
        <v>3073</v>
      </c>
    </row>
    <row r="1981" spans="1:5" x14ac:dyDescent="0.2">
      <c r="A1981" s="34" t="str">
        <f>HYPERLINK("http://www.daganm.co.il/sku/AC-065MG","AC-065MG")</f>
        <v>AC-065MG</v>
      </c>
      <c r="B1981" t="s">
        <v>6</v>
      </c>
      <c r="C1981" s="2" t="s">
        <v>1467</v>
      </c>
      <c r="D1981" s="32">
        <v>45442</v>
      </c>
      <c r="E1981" s="35" t="s">
        <v>3074</v>
      </c>
    </row>
    <row r="1982" spans="1:5" x14ac:dyDescent="0.2">
      <c r="A1982" s="34" t="str">
        <f>HYPERLINK("http://www.daganm.co.il/sku/AC-069","AC-069")</f>
        <v>AC-069</v>
      </c>
      <c r="B1982" t="s">
        <v>6</v>
      </c>
      <c r="C1982" s="2" t="s">
        <v>1468</v>
      </c>
      <c r="D1982" s="32"/>
      <c r="E1982" s="35" t="s">
        <v>3075</v>
      </c>
    </row>
    <row r="1983" spans="1:5" x14ac:dyDescent="0.2">
      <c r="A1983" s="34" t="str">
        <f>HYPERLINK("http://www.daganm.co.il/sku/CC-010B","CC-010B")</f>
        <v>CC-010B</v>
      </c>
      <c r="B1983" t="s">
        <v>6</v>
      </c>
      <c r="C1983" s="2" t="s">
        <v>1469</v>
      </c>
      <c r="D1983" s="36"/>
      <c r="E1983" s="35" t="s">
        <v>3076</v>
      </c>
    </row>
    <row r="1984" spans="1:5" x14ac:dyDescent="0.2">
      <c r="A1984" s="34" t="str">
        <f>HYPERLINK("http://www.daganm.co.il/sku/CC-010R","CC-010R")</f>
        <v>CC-010R</v>
      </c>
      <c r="B1984" t="s">
        <v>6</v>
      </c>
      <c r="C1984" s="2" t="s">
        <v>1470</v>
      </c>
      <c r="D1984" s="32"/>
      <c r="E1984" s="35" t="s">
        <v>3077</v>
      </c>
    </row>
    <row r="1985" spans="1:5" x14ac:dyDescent="0.2">
      <c r="A1985" s="34" t="str">
        <f>HYPERLINK("http://www.daganm.co.il/sku/CC-108B","CC-108B")</f>
        <v>CC-108B</v>
      </c>
      <c r="B1985" t="s">
        <v>6</v>
      </c>
      <c r="C1985" s="2" t="s">
        <v>1471</v>
      </c>
      <c r="D1985" s="32"/>
      <c r="E1985" s="32" t="s">
        <v>3078</v>
      </c>
    </row>
    <row r="1986" spans="1:5" x14ac:dyDescent="0.2">
      <c r="A1986" s="34" t="str">
        <f>HYPERLINK("http://www.daganm.co.il/sku/CC-108R","CC-108R")</f>
        <v>CC-108R</v>
      </c>
      <c r="B1986" t="s">
        <v>6</v>
      </c>
      <c r="C1986" s="2" t="s">
        <v>1472</v>
      </c>
      <c r="D1986" s="32"/>
      <c r="E1986" s="35" t="s">
        <v>3079</v>
      </c>
    </row>
    <row r="1987" spans="1:5" x14ac:dyDescent="0.2">
      <c r="A1987" s="34" t="str">
        <f>HYPERLINK("http://www.daganm.co.il/sku/JC-017","JC-017")</f>
        <v>JC-017</v>
      </c>
      <c r="B1987" t="s">
        <v>6</v>
      </c>
      <c r="C1987" s="2" t="s">
        <v>1473</v>
      </c>
      <c r="D1987" s="32"/>
      <c r="E1987" s="35" t="s">
        <v>3080</v>
      </c>
    </row>
    <row r="1988" spans="1:5" x14ac:dyDescent="0.2">
      <c r="A1988" s="34" t="str">
        <f>HYPERLINK("http://www.daganm.co.il/sku/JC-013","JC-013")</f>
        <v>JC-013</v>
      </c>
      <c r="B1988" t="s">
        <v>6</v>
      </c>
      <c r="C1988" s="2" t="s">
        <v>1474</v>
      </c>
      <c r="D1988" s="32"/>
      <c r="E1988" s="35" t="s">
        <v>3081</v>
      </c>
    </row>
    <row r="1989" spans="1:5" x14ac:dyDescent="0.2">
      <c r="A1989" s="34" t="str">
        <f>HYPERLINK("http://www.daganm.co.il/sku/JC-037","JC-037")</f>
        <v>JC-037</v>
      </c>
      <c r="B1989" t="s">
        <v>6</v>
      </c>
      <c r="C1989" s="2" t="s">
        <v>1475</v>
      </c>
      <c r="D1989" s="32"/>
      <c r="E1989" s="35" t="s">
        <v>3082</v>
      </c>
    </row>
    <row r="1990" spans="1:5" x14ac:dyDescent="0.2">
      <c r="A1990" s="34" t="str">
        <f>HYPERLINK("http://www.daganm.co.il/sku/JC-038","JC-038")</f>
        <v>JC-038</v>
      </c>
      <c r="B1990" t="s">
        <v>6</v>
      </c>
      <c r="C1990" s="2" t="s">
        <v>1476</v>
      </c>
      <c r="D1990" s="32"/>
      <c r="E1990" s="35" t="s">
        <v>3083</v>
      </c>
    </row>
    <row r="1991" spans="1:5" x14ac:dyDescent="0.2">
      <c r="A1991" s="34" t="str">
        <f>HYPERLINK("http://www.daganm.co.il/sku/AC-018M","AC-018M")</f>
        <v>AC-018M</v>
      </c>
      <c r="B1991" t="s">
        <v>6</v>
      </c>
      <c r="C1991" s="2" t="s">
        <v>1477</v>
      </c>
      <c r="D1991" s="32"/>
      <c r="E1991" s="35" t="s">
        <v>3084</v>
      </c>
    </row>
    <row r="1992" spans="1:5" x14ac:dyDescent="0.2">
      <c r="A1992" s="34" t="str">
        <f>HYPERLINK("http://www.daganm.co.il/sku/AC-025M","AC-025M")</f>
        <v>AC-025M</v>
      </c>
      <c r="B1992" t="s">
        <v>6</v>
      </c>
      <c r="C1992" s="2" t="s">
        <v>1478</v>
      </c>
      <c r="D1992" s="32"/>
      <c r="E1992" s="35" t="s">
        <v>3085</v>
      </c>
    </row>
    <row r="1993" spans="1:5" x14ac:dyDescent="0.2">
      <c r="A1993" s="34" t="str">
        <f>HYPERLINK("http://www.daganm.co.il/sku/JC-033","JC-033")</f>
        <v>JC-033</v>
      </c>
      <c r="B1993" t="s">
        <v>6</v>
      </c>
      <c r="C1993" s="2" t="s">
        <v>1479</v>
      </c>
      <c r="D1993" s="32"/>
      <c r="E1993" s="35" t="s">
        <v>3086</v>
      </c>
    </row>
    <row r="1994" spans="1:5" x14ac:dyDescent="0.2">
      <c r="B1994"/>
      <c r="C1994" s="33" t="s">
        <v>85</v>
      </c>
      <c r="D1994" s="32"/>
      <c r="E1994" s="35"/>
    </row>
    <row r="1995" spans="1:5" x14ac:dyDescent="0.2">
      <c r="A1995" s="34" t="str">
        <f>HYPERLINK("http://www.daganm.co.il/sku/BNC-005","BNC-005")</f>
        <v>BNC-005</v>
      </c>
      <c r="B1995" t="s">
        <v>6</v>
      </c>
      <c r="C1995" s="2" t="s">
        <v>1480</v>
      </c>
      <c r="D1995" s="32" t="s">
        <v>2</v>
      </c>
      <c r="E1995" s="35" t="s">
        <v>3087</v>
      </c>
    </row>
    <row r="1996" spans="1:5" x14ac:dyDescent="0.2">
      <c r="A1996" s="34" t="str">
        <f>HYPERLINK("http://www.daganm.co.il/sku/BNC-004","BNC-004")</f>
        <v>BNC-004</v>
      </c>
      <c r="B1996" t="s">
        <v>6</v>
      </c>
      <c r="C1996" s="2" t="s">
        <v>1481</v>
      </c>
      <c r="D1996" s="32" t="s">
        <v>2</v>
      </c>
      <c r="E1996" s="32" t="s">
        <v>3088</v>
      </c>
    </row>
    <row r="1997" spans="1:5" x14ac:dyDescent="0.2">
      <c r="A1997" s="34" t="str">
        <f>HYPERLINK("http://www.daganm.co.il/sku/BNC-006","BNC-006")</f>
        <v>BNC-006</v>
      </c>
      <c r="B1997" t="s">
        <v>6</v>
      </c>
      <c r="C1997" s="2" t="s">
        <v>1482</v>
      </c>
      <c r="D1997" s="32"/>
      <c r="E1997" s="35" t="s">
        <v>3089</v>
      </c>
    </row>
    <row r="1998" spans="1:5" x14ac:dyDescent="0.2">
      <c r="A1998" s="34" t="str">
        <f>HYPERLINK("http://www.daganm.co.il/sku/BNC-007","BNC-007")</f>
        <v>BNC-007</v>
      </c>
      <c r="B1998" t="s">
        <v>6</v>
      </c>
      <c r="C1998" s="2" t="s">
        <v>1483</v>
      </c>
      <c r="D1998" s="32"/>
      <c r="E1998" s="35" t="s">
        <v>3090</v>
      </c>
    </row>
    <row r="1999" spans="1:5" x14ac:dyDescent="0.2">
      <c r="A1999" s="34" t="str">
        <f>HYPERLINK("http://www.daganm.co.il/sku/BNC-008","BNC-008")</f>
        <v>BNC-008</v>
      </c>
      <c r="B1999" t="s">
        <v>6</v>
      </c>
      <c r="C1999" s="2" t="s">
        <v>1484</v>
      </c>
      <c r="D1999" s="32"/>
      <c r="E1999" s="35" t="s">
        <v>3091</v>
      </c>
    </row>
    <row r="2000" spans="1:5" x14ac:dyDescent="0.2">
      <c r="A2000" s="34" t="str">
        <f>HYPERLINK("http://www.daganm.co.il/sku/BNC-201","BNC-201")</f>
        <v>BNC-201</v>
      </c>
      <c r="B2000" t="s">
        <v>6</v>
      </c>
      <c r="C2000" s="2" t="s">
        <v>1485</v>
      </c>
      <c r="D2000" s="32"/>
      <c r="E2000" s="35" t="s">
        <v>3092</v>
      </c>
    </row>
    <row r="2001" spans="1:5" x14ac:dyDescent="0.2">
      <c r="A2001" s="34" t="str">
        <f>HYPERLINK("http://www.daganm.co.il/sku/BNC-202","BNC-202")</f>
        <v>BNC-202</v>
      </c>
      <c r="B2001" t="s">
        <v>6</v>
      </c>
      <c r="C2001" s="2" t="s">
        <v>1486</v>
      </c>
      <c r="D2001" s="32"/>
      <c r="E2001" s="35" t="s">
        <v>3093</v>
      </c>
    </row>
    <row r="2002" spans="1:5" x14ac:dyDescent="0.2">
      <c r="A2002" s="34" t="str">
        <f>HYPERLINK("http://www.daganm.co.il/sku/FC-RG59","FC-RG59")</f>
        <v>FC-RG59</v>
      </c>
      <c r="B2002" t="s">
        <v>6</v>
      </c>
      <c r="C2002" s="2" t="s">
        <v>1487</v>
      </c>
      <c r="D2002" s="32" t="s">
        <v>2</v>
      </c>
      <c r="E2002" s="35" t="s">
        <v>3094</v>
      </c>
    </row>
    <row r="2003" spans="1:5" x14ac:dyDescent="0.2">
      <c r="A2003" s="34" t="str">
        <f>HYPERLINK("http://www.daganm.co.il/sku/FC-RG6","FC-RG6")</f>
        <v>FC-RG6</v>
      </c>
      <c r="B2003" t="s">
        <v>6</v>
      </c>
      <c r="C2003" s="2" t="s">
        <v>1488</v>
      </c>
      <c r="D2003" s="32" t="s">
        <v>2</v>
      </c>
      <c r="E2003" s="35" t="s">
        <v>3095</v>
      </c>
    </row>
    <row r="2004" spans="1:5" x14ac:dyDescent="0.2">
      <c r="A2004" s="34" t="str">
        <f>HYPERLINK("http://www.daganm.co.il/sku/FC-018","FC-018")</f>
        <v>FC-018</v>
      </c>
      <c r="B2004" t="s">
        <v>6</v>
      </c>
      <c r="C2004" s="2" t="s">
        <v>1489</v>
      </c>
      <c r="D2004" s="32"/>
      <c r="E2004" s="35" t="s">
        <v>3096</v>
      </c>
    </row>
    <row r="2005" spans="1:5" x14ac:dyDescent="0.2">
      <c r="A2005" s="34" t="str">
        <f>HYPERLINK("http://www.daganm.co.il/sku/FC-015","FC-015")</f>
        <v>FC-015</v>
      </c>
      <c r="B2005" t="s">
        <v>6</v>
      </c>
      <c r="C2005" s="2" t="s">
        <v>1490</v>
      </c>
      <c r="D2005" s="32"/>
      <c r="E2005" s="35" t="s">
        <v>3097</v>
      </c>
    </row>
    <row r="2006" spans="1:5" x14ac:dyDescent="0.2">
      <c r="B2006"/>
      <c r="C2006" s="33" t="s">
        <v>86</v>
      </c>
      <c r="D2006" s="32"/>
      <c r="E2006" s="35"/>
    </row>
    <row r="2007" spans="1:5" x14ac:dyDescent="0.2">
      <c r="A2007" s="34" t="str">
        <f>HYPERLINK("http://www.daganm.co.il/sku/DSC-009","DSC-009")</f>
        <v>DSC-009</v>
      </c>
      <c r="B2007" t="s">
        <v>6</v>
      </c>
      <c r="C2007" s="2" t="s">
        <v>1491</v>
      </c>
      <c r="D2007" s="32"/>
      <c r="E2007" s="35" t="s">
        <v>3098</v>
      </c>
    </row>
    <row r="2008" spans="1:5" x14ac:dyDescent="0.2">
      <c r="A2008" s="34" t="str">
        <f>HYPERLINK("http://www.daganm.co.il/sku/DSC-109","DSC-109")</f>
        <v>DSC-109</v>
      </c>
      <c r="B2008" t="s">
        <v>6</v>
      </c>
      <c r="C2008" s="2" t="s">
        <v>1492</v>
      </c>
      <c r="D2008" s="32"/>
      <c r="E2008" s="35" t="s">
        <v>3099</v>
      </c>
    </row>
    <row r="2009" spans="1:5" x14ac:dyDescent="0.2">
      <c r="A2009" s="34" t="str">
        <f>HYPERLINK("http://www.daganm.co.il/sku/DSC-209","DSC-209")</f>
        <v>DSC-209</v>
      </c>
      <c r="B2009" t="s">
        <v>6</v>
      </c>
      <c r="C2009" s="2" t="s">
        <v>1493</v>
      </c>
      <c r="D2009" s="32"/>
      <c r="E2009" s="35" t="s">
        <v>3100</v>
      </c>
    </row>
    <row r="2010" spans="1:5" x14ac:dyDescent="0.2">
      <c r="A2010" s="34" t="str">
        <f>HYPERLINK("http://www.daganm.co.il/sku/DSC-025","DSC-025")</f>
        <v>DSC-025</v>
      </c>
      <c r="B2010" t="s">
        <v>6</v>
      </c>
      <c r="C2010" s="2" t="s">
        <v>3362</v>
      </c>
      <c r="D2010" s="32"/>
      <c r="E2010" s="35" t="s">
        <v>3495</v>
      </c>
    </row>
    <row r="2011" spans="1:5" x14ac:dyDescent="0.2">
      <c r="A2011" s="34" t="str">
        <f>HYPERLINK("http://www.daganm.co.il/sku/DSC-125","DSC-125")</f>
        <v>DSC-125</v>
      </c>
      <c r="B2011" t="s">
        <v>6</v>
      </c>
      <c r="C2011" s="2" t="s">
        <v>1494</v>
      </c>
      <c r="D2011" s="32"/>
      <c r="E2011" s="35" t="s">
        <v>3101</v>
      </c>
    </row>
    <row r="2012" spans="1:5" x14ac:dyDescent="0.2">
      <c r="A2012" s="34" t="str">
        <f>HYPERLINK("http://www.daganm.co.il/sku/DSC-225","DSC-225")</f>
        <v>DSC-225</v>
      </c>
      <c r="B2012" t="s">
        <v>6</v>
      </c>
      <c r="C2012" s="2" t="s">
        <v>1495</v>
      </c>
      <c r="D2012" s="32"/>
      <c r="E2012" s="35" t="s">
        <v>3102</v>
      </c>
    </row>
    <row r="2013" spans="1:5" x14ac:dyDescent="0.2">
      <c r="A2013" s="34" t="str">
        <f>HYPERLINK("http://www.daganm.co.il/sku/GCM-9F9F","GCM-9F9F")</f>
        <v>GCM-9F9F</v>
      </c>
      <c r="B2013" t="s">
        <v>6</v>
      </c>
      <c r="C2013" s="2" t="s">
        <v>1496</v>
      </c>
      <c r="D2013" s="32"/>
      <c r="E2013" s="35" t="s">
        <v>3103</v>
      </c>
    </row>
    <row r="2014" spans="1:5" x14ac:dyDescent="0.2">
      <c r="A2014" s="34" t="str">
        <f>HYPERLINK("http://www.daganm.co.il/sku/GCM-9M9M","GCM-9M9M")</f>
        <v>GCM-9M9M</v>
      </c>
      <c r="B2014" t="s">
        <v>6</v>
      </c>
      <c r="C2014" s="2" t="s">
        <v>1497</v>
      </c>
      <c r="D2014" s="32"/>
      <c r="E2014" s="35" t="s">
        <v>3104</v>
      </c>
    </row>
    <row r="2015" spans="1:5" x14ac:dyDescent="0.2">
      <c r="A2015" s="34" t="str">
        <f>HYPERLINK("http://www.daganm.co.il/sku/DSC-400","DSC-400")</f>
        <v>DSC-400</v>
      </c>
      <c r="B2015" t="s">
        <v>6</v>
      </c>
      <c r="C2015" s="2" t="s">
        <v>1498</v>
      </c>
      <c r="D2015" s="32"/>
      <c r="E2015" s="35" t="s">
        <v>3105</v>
      </c>
    </row>
    <row r="2016" spans="1:5" x14ac:dyDescent="0.2">
      <c r="A2016" s="34" t="str">
        <f>HYPERLINK("http://www.daganm.co.il/sku/DSC-401","DSC-401")</f>
        <v>DSC-401</v>
      </c>
      <c r="B2016" t="s">
        <v>6</v>
      </c>
      <c r="C2016" s="2" t="s">
        <v>1499</v>
      </c>
      <c r="D2016" s="32"/>
      <c r="E2016" s="35" t="s">
        <v>3106</v>
      </c>
    </row>
    <row r="2017" spans="1:5" x14ac:dyDescent="0.2">
      <c r="B2017"/>
      <c r="C2017" s="33" t="s">
        <v>87</v>
      </c>
      <c r="D2017" s="32"/>
      <c r="E2017" s="35"/>
    </row>
    <row r="2018" spans="1:5" x14ac:dyDescent="0.2">
      <c r="A2018" s="34" t="str">
        <f>HYPERLINK("http://www.daganm.co.il/sku/DSC-415","DSC-415")</f>
        <v>DSC-415</v>
      </c>
      <c r="B2018" t="s">
        <v>6</v>
      </c>
      <c r="C2018" s="2" t="s">
        <v>1500</v>
      </c>
      <c r="D2018" s="32"/>
      <c r="E2018" s="35" t="s">
        <v>3107</v>
      </c>
    </row>
    <row r="2019" spans="1:5" x14ac:dyDescent="0.2">
      <c r="A2019" s="34" t="str">
        <f>HYPERLINK("http://www.daganm.co.il/sku/GCHD-FF15P","GCHD-FF15P")</f>
        <v>GCHD-FF15P</v>
      </c>
      <c r="B2019" t="s">
        <v>6</v>
      </c>
      <c r="C2019" s="2" t="s">
        <v>1501</v>
      </c>
      <c r="D2019" s="32"/>
      <c r="E2019" s="35" t="s">
        <v>3108</v>
      </c>
    </row>
    <row r="2020" spans="1:5" x14ac:dyDescent="0.2">
      <c r="A2020" s="34" t="str">
        <f>HYPERLINK("http://www.daganm.co.il/sku/GCHD-MM15P","GCHD-MM15P")</f>
        <v>GCHD-MM15P</v>
      </c>
      <c r="B2020" t="s">
        <v>6</v>
      </c>
      <c r="C2020" s="2" t="s">
        <v>1502</v>
      </c>
      <c r="D2020" s="32"/>
      <c r="E2020" s="32" t="s">
        <v>3109</v>
      </c>
    </row>
    <row r="2021" spans="1:5" x14ac:dyDescent="0.2">
      <c r="A2021" s="34" t="str">
        <f>HYPERLINK("http://www.daganm.co.il/sku/GCHD-MF15P","GCHD-MF15P")</f>
        <v>GCHD-MF15P</v>
      </c>
      <c r="B2021" t="s">
        <v>6</v>
      </c>
      <c r="C2021" s="2" t="s">
        <v>1503</v>
      </c>
      <c r="D2021" s="32"/>
      <c r="E2021" s="35" t="s">
        <v>3110</v>
      </c>
    </row>
    <row r="2022" spans="1:5" x14ac:dyDescent="0.2">
      <c r="A2022" s="34" t="str">
        <f>HYPERLINK("http://www.daganm.co.il/sku/GCHD-MF90","GCHD-MF90")</f>
        <v>GCHD-MF90</v>
      </c>
      <c r="B2022" t="s">
        <v>6</v>
      </c>
      <c r="C2022" s="2" t="s">
        <v>1504</v>
      </c>
      <c r="D2022" s="32"/>
      <c r="E2022" s="35" t="s">
        <v>3111</v>
      </c>
    </row>
    <row r="2023" spans="1:5" x14ac:dyDescent="0.2">
      <c r="A2023" s="34" t="str">
        <f>HYPERLINK("http://www.daganm.co.il/sku/CMP-ADAP20","CMP-ADAP20")</f>
        <v>CMP-ADAP20</v>
      </c>
      <c r="B2023" t="s">
        <v>6</v>
      </c>
      <c r="C2023" s="2" t="s">
        <v>1505</v>
      </c>
      <c r="D2023" s="32"/>
      <c r="E2023" s="35" t="s">
        <v>3112</v>
      </c>
    </row>
    <row r="2024" spans="1:5" x14ac:dyDescent="0.2">
      <c r="A2024" s="34" t="str">
        <f>HYPERLINK("http://www.daganm.co.il/sku/CMP-ADAP21","CMP-ADAP21")</f>
        <v>CMP-ADAP21</v>
      </c>
      <c r="B2024" t="s">
        <v>6</v>
      </c>
      <c r="C2024" s="2" t="s">
        <v>1506</v>
      </c>
      <c r="D2024" s="32"/>
      <c r="E2024" s="35" t="s">
        <v>3113</v>
      </c>
    </row>
    <row r="2025" spans="1:5" x14ac:dyDescent="0.2">
      <c r="A2025" s="34" t="str">
        <f>HYPERLINK("http://www.daganm.co.il/sku/CMP-ADAP21-1","CMP-ADAP21-1")</f>
        <v>CMP-ADAP21-1</v>
      </c>
      <c r="B2025" t="s">
        <v>6</v>
      </c>
      <c r="C2025" s="2" t="s">
        <v>1507</v>
      </c>
      <c r="D2025" s="32"/>
      <c r="E2025" s="35" t="s">
        <v>3114</v>
      </c>
    </row>
    <row r="2026" spans="1:5" x14ac:dyDescent="0.2">
      <c r="A2026" s="34" t="str">
        <f>HYPERLINK("http://www.daganm.co.il/sku/VC-003G","VC-003G")</f>
        <v>VC-003G</v>
      </c>
      <c r="B2026" t="s">
        <v>6</v>
      </c>
      <c r="C2026" s="2" t="s">
        <v>1508</v>
      </c>
      <c r="D2026" s="32"/>
      <c r="E2026" s="35" t="s">
        <v>3115</v>
      </c>
    </row>
    <row r="2027" spans="1:5" x14ac:dyDescent="0.2">
      <c r="A2027" s="34" t="str">
        <f>HYPERLINK("http://www.daganm.co.il/sku/VC-004G","VC-004G")</f>
        <v>VC-004G</v>
      </c>
      <c r="B2027" t="s">
        <v>6</v>
      </c>
      <c r="C2027" s="2" t="s">
        <v>1509</v>
      </c>
      <c r="D2027" s="36"/>
      <c r="E2027" s="35" t="s">
        <v>3116</v>
      </c>
    </row>
    <row r="2028" spans="1:5" x14ac:dyDescent="0.2">
      <c r="A2028" s="34" t="str">
        <f>HYPERLINK("http://www.daganm.co.il/sku/VC-007G","VC-007G")</f>
        <v>VC-007G</v>
      </c>
      <c r="B2028" t="s">
        <v>6</v>
      </c>
      <c r="C2028" s="2" t="s">
        <v>1510</v>
      </c>
      <c r="D2028" s="32"/>
      <c r="E2028" s="35" t="s">
        <v>3117</v>
      </c>
    </row>
    <row r="2029" spans="1:5" x14ac:dyDescent="0.2">
      <c r="A2029" s="34" t="str">
        <f>HYPERLINK("http://www.daganm.co.il/sku/VC-008","VC-008")</f>
        <v>VC-008</v>
      </c>
      <c r="B2029" t="s">
        <v>6</v>
      </c>
      <c r="C2029" s="2" t="s">
        <v>1511</v>
      </c>
      <c r="D2029" s="32"/>
      <c r="E2029" s="35" t="s">
        <v>3118</v>
      </c>
    </row>
    <row r="2030" spans="1:5" x14ac:dyDescent="0.2">
      <c r="A2030" s="34" t="str">
        <f>HYPERLINK("http://www.daganm.co.il/sku/VC-008RA","VC-008RA")</f>
        <v>VC-008RA</v>
      </c>
      <c r="B2030" t="s">
        <v>6</v>
      </c>
      <c r="C2030" s="2" t="s">
        <v>1512</v>
      </c>
      <c r="D2030" s="32"/>
      <c r="E2030" s="35" t="s">
        <v>3119</v>
      </c>
    </row>
    <row r="2031" spans="1:5" x14ac:dyDescent="0.2">
      <c r="A2031" s="34" t="str">
        <f>HYPERLINK("http://www.daganm.co.il/sku/VC-008MF","VC-008MF")</f>
        <v>VC-008MF</v>
      </c>
      <c r="B2031" t="s">
        <v>6</v>
      </c>
      <c r="C2031" s="2" t="s">
        <v>1513</v>
      </c>
      <c r="D2031" s="32"/>
      <c r="E2031" s="35" t="s">
        <v>3120</v>
      </c>
    </row>
    <row r="2032" spans="1:5" x14ac:dyDescent="0.2">
      <c r="A2032" s="34" t="str">
        <f>HYPERLINK("http://www.daganm.co.il/sku/VC-010G","VC-010G")</f>
        <v>VC-010G</v>
      </c>
      <c r="B2032" t="s">
        <v>6</v>
      </c>
      <c r="C2032" s="2" t="s">
        <v>1514</v>
      </c>
      <c r="D2032" s="32"/>
      <c r="E2032" s="35" t="s">
        <v>3121</v>
      </c>
    </row>
    <row r="2033" spans="1:5" x14ac:dyDescent="0.2">
      <c r="A2033" s="34" t="str">
        <f>HYPERLINK("http://www.daganm.co.il/sku/VC-010MG","VC-010MG")</f>
        <v>VC-010MG</v>
      </c>
      <c r="B2033" t="s">
        <v>6</v>
      </c>
      <c r="C2033" s="2" t="s">
        <v>1515</v>
      </c>
      <c r="D2033" s="32"/>
      <c r="E2033" s="35" t="s">
        <v>3122</v>
      </c>
    </row>
    <row r="2034" spans="1:5" x14ac:dyDescent="0.2">
      <c r="A2034" s="34" t="str">
        <f>HYPERLINK("http://www.daganm.co.il/sku/VC-011G","VC-011G")</f>
        <v>VC-011G</v>
      </c>
      <c r="B2034" t="s">
        <v>6</v>
      </c>
      <c r="C2034" s="2" t="s">
        <v>1516</v>
      </c>
      <c r="D2034" s="32"/>
      <c r="E2034" s="35" t="s">
        <v>3123</v>
      </c>
    </row>
    <row r="2035" spans="1:5" x14ac:dyDescent="0.2">
      <c r="A2035" s="34" t="str">
        <f>HYPERLINK("http://www.daganm.co.il/sku/VC-015G","VC-015G")</f>
        <v>VC-015G</v>
      </c>
      <c r="B2035" t="s">
        <v>6</v>
      </c>
      <c r="C2035" s="2" t="s">
        <v>1517</v>
      </c>
      <c r="D2035" s="32"/>
      <c r="E2035" s="35" t="s">
        <v>3124</v>
      </c>
    </row>
    <row r="2036" spans="1:5" x14ac:dyDescent="0.2">
      <c r="A2036" s="34" t="str">
        <f>HYPERLINK("http://www.daganm.co.il/sku/VC-012G","VC-012G")</f>
        <v>VC-012G</v>
      </c>
      <c r="B2036" t="s">
        <v>6</v>
      </c>
      <c r="C2036" s="2" t="s">
        <v>1518</v>
      </c>
      <c r="D2036" s="32"/>
      <c r="E2036" s="35" t="s">
        <v>3125</v>
      </c>
    </row>
    <row r="2037" spans="1:5" x14ac:dyDescent="0.2">
      <c r="A2037" s="34" t="str">
        <f>HYPERLINK("http://www.daganm.co.il/sku/VC-012RG","VC-012RG")</f>
        <v>VC-012RG</v>
      </c>
      <c r="B2037" t="s">
        <v>6</v>
      </c>
      <c r="C2037" s="2" t="s">
        <v>1519</v>
      </c>
      <c r="D2037" s="36"/>
      <c r="E2037" s="35" t="s">
        <v>3126</v>
      </c>
    </row>
    <row r="2038" spans="1:5" x14ac:dyDescent="0.2">
      <c r="A2038" s="34" t="str">
        <f>HYPERLINK("http://www.daganm.co.il/sku/VC-017G","VC-017G")</f>
        <v>VC-017G</v>
      </c>
      <c r="B2038" t="s">
        <v>6</v>
      </c>
      <c r="C2038" s="2" t="s">
        <v>1520</v>
      </c>
      <c r="D2038" s="32"/>
      <c r="E2038" s="35" t="s">
        <v>3127</v>
      </c>
    </row>
    <row r="2039" spans="1:5" x14ac:dyDescent="0.2">
      <c r="A2039" s="34" t="str">
        <f>HYPERLINK("http://www.daganm.co.il/sku/VC-017RG","VC-017RG")</f>
        <v>VC-017RG</v>
      </c>
      <c r="B2039" t="s">
        <v>6</v>
      </c>
      <c r="C2039" s="2" t="s">
        <v>1521</v>
      </c>
      <c r="D2039" s="32"/>
      <c r="E2039" s="35" t="s">
        <v>3128</v>
      </c>
    </row>
    <row r="2040" spans="1:5" x14ac:dyDescent="0.2">
      <c r="A2040" s="34" t="str">
        <f>HYPERLINK("http://www.daganm.co.il/sku/VC-021","VC-021")</f>
        <v>VC-021</v>
      </c>
      <c r="B2040" t="s">
        <v>6</v>
      </c>
      <c r="C2040" s="2" t="s">
        <v>1522</v>
      </c>
      <c r="D2040" s="32"/>
      <c r="E2040" s="35" t="s">
        <v>3129</v>
      </c>
    </row>
    <row r="2041" spans="1:5" x14ac:dyDescent="0.2">
      <c r="B2041"/>
      <c r="C2041" s="33" t="s">
        <v>88</v>
      </c>
      <c r="D2041" s="32"/>
      <c r="E2041" s="35"/>
    </row>
    <row r="2042" spans="1:5" x14ac:dyDescent="0.2">
      <c r="A2042" s="34" t="str">
        <f>HYPERLINK("http://www.daganm.co.il/sku/TEL-0080R%20x10","TEL-0080R")</f>
        <v>TEL-0080R</v>
      </c>
      <c r="B2042" t="s">
        <v>6</v>
      </c>
      <c r="C2042" s="2" t="s">
        <v>1523</v>
      </c>
      <c r="D2042" s="32"/>
      <c r="E2042" s="35" t="s">
        <v>3130</v>
      </c>
    </row>
    <row r="2043" spans="1:5" x14ac:dyDescent="0.2">
      <c r="A2043" s="34" t="str">
        <f>HYPERLINK("http://www.daganm.co.il/sku/ISDN-0020","ISDN-0020")</f>
        <v>ISDN-0020</v>
      </c>
      <c r="B2043" t="s">
        <v>6</v>
      </c>
      <c r="C2043" s="2" t="s">
        <v>1524</v>
      </c>
      <c r="D2043" s="32"/>
      <c r="E2043" s="35" t="s">
        <v>3131</v>
      </c>
    </row>
    <row r="2044" spans="1:5" x14ac:dyDescent="0.2">
      <c r="A2044" s="34" t="str">
        <f>HYPERLINK("http://www.daganm.co.il/sku/ISDN-0022","ISDN-0022")</f>
        <v>ISDN-0022</v>
      </c>
      <c r="B2044" t="s">
        <v>6</v>
      </c>
      <c r="C2044" s="2" t="s">
        <v>1525</v>
      </c>
      <c r="D2044" s="32"/>
      <c r="E2044" s="35" t="s">
        <v>3132</v>
      </c>
    </row>
    <row r="2045" spans="1:5" x14ac:dyDescent="0.2">
      <c r="A2045" s="34" t="str">
        <f>HYPERLINK("http://www.daganm.co.il/sku/ISDN-0023","ISDN-0023")</f>
        <v>ISDN-0023</v>
      </c>
      <c r="B2045" t="s">
        <v>6</v>
      </c>
      <c r="C2045" s="2" t="s">
        <v>1526</v>
      </c>
      <c r="D2045" s="32"/>
      <c r="E2045" s="35" t="s">
        <v>3133</v>
      </c>
    </row>
    <row r="2046" spans="1:5" x14ac:dyDescent="0.2">
      <c r="A2046" s="34" t="str">
        <f>HYPERLINK("http://www.daganm.co.il/sku/ISDN-1122","ISDN-1122")</f>
        <v>ISDN-1122</v>
      </c>
      <c r="B2046" t="s">
        <v>6</v>
      </c>
      <c r="C2046" s="2" t="s">
        <v>1527</v>
      </c>
      <c r="D2046" s="32"/>
      <c r="E2046" s="35" t="s">
        <v>3134</v>
      </c>
    </row>
    <row r="2047" spans="1:5" x14ac:dyDescent="0.2">
      <c r="A2047" s="34" t="str">
        <f>HYPERLINK("http://www.daganm.co.il/sku/ISDN-1123","ISDN-1123")</f>
        <v>ISDN-1123</v>
      </c>
      <c r="B2047" t="s">
        <v>6</v>
      </c>
      <c r="C2047" s="2" t="s">
        <v>1528</v>
      </c>
      <c r="D2047" s="32"/>
      <c r="E2047" s="35" t="s">
        <v>3135</v>
      </c>
    </row>
    <row r="2048" spans="1:5" x14ac:dyDescent="0.2">
      <c r="A2048" s="34" t="str">
        <f>HYPERLINK("http://www.daganm.co.il/sku/ISDN-1124","ISDN-1124")</f>
        <v>ISDN-1124</v>
      </c>
      <c r="B2048" t="s">
        <v>3593</v>
      </c>
      <c r="C2048" s="2" t="s">
        <v>3594</v>
      </c>
      <c r="D2048" s="32"/>
      <c r="E2048" s="35" t="s">
        <v>3496</v>
      </c>
    </row>
    <row r="2049" spans="1:5" x14ac:dyDescent="0.2">
      <c r="A2049" s="34" t="str">
        <f>HYPERLINK("http://www.daganm.co.il/sku/ISDN-0025-CAT6","ISDN-0025-CAT6")</f>
        <v>ISDN-0025-CAT6</v>
      </c>
      <c r="B2049" t="s">
        <v>6</v>
      </c>
      <c r="C2049" s="2" t="s">
        <v>1529</v>
      </c>
      <c r="D2049" s="32"/>
      <c r="E2049" s="35" t="s">
        <v>3136</v>
      </c>
    </row>
    <row r="2050" spans="1:5" x14ac:dyDescent="0.2">
      <c r="A2050" s="34" t="str">
        <f>HYPERLINK("http://www.daganm.co.il/sku/ISDN-0025UN","ISDN-0025UN")</f>
        <v>ISDN-0025UN</v>
      </c>
      <c r="B2050" t="s">
        <v>6</v>
      </c>
      <c r="C2050" s="2" t="s">
        <v>1530</v>
      </c>
      <c r="D2050" s="32"/>
      <c r="E2050" s="35" t="s">
        <v>3137</v>
      </c>
    </row>
    <row r="2051" spans="1:5" x14ac:dyDescent="0.2">
      <c r="A2051" s="34" t="str">
        <f>HYPERLINK("http://www.daganm.co.il/sku/ISDN-0021%20x10","ISDN-0021")</f>
        <v>ISDN-0021</v>
      </c>
      <c r="B2051" t="s">
        <v>3593</v>
      </c>
      <c r="C2051" s="2" t="s">
        <v>1531</v>
      </c>
      <c r="D2051" s="36"/>
      <c r="E2051" s="35" t="s">
        <v>3138</v>
      </c>
    </row>
    <row r="2052" spans="1:5" x14ac:dyDescent="0.2">
      <c r="A2052" s="34" t="str">
        <f>HYPERLINK("http://www.daganm.co.il/sku/ISDN-0027","ISDN-0027")</f>
        <v>ISDN-0027</v>
      </c>
      <c r="B2052" t="s">
        <v>3593</v>
      </c>
      <c r="C2052" s="2" t="s">
        <v>1532</v>
      </c>
      <c r="D2052" s="32"/>
      <c r="E2052" s="32" t="s">
        <v>3139</v>
      </c>
    </row>
    <row r="2053" spans="1:5" x14ac:dyDescent="0.2">
      <c r="A2053" s="34" t="str">
        <f>HYPERLINK("http://www.daganm.co.il/sku/ISDN-0031%20x10","ISDN-0031")</f>
        <v>ISDN-0031</v>
      </c>
      <c r="B2053" t="s">
        <v>3593</v>
      </c>
      <c r="C2053" s="2" t="s">
        <v>1533</v>
      </c>
      <c r="D2053" s="32"/>
      <c r="E2053" s="35" t="s">
        <v>3140</v>
      </c>
    </row>
    <row r="2054" spans="1:5" x14ac:dyDescent="0.2">
      <c r="A2054" s="34" t="str">
        <f>HYPERLINK("http://www.daganm.co.il/sku/ISDN-0001","ISDN-0001")</f>
        <v>ISDN-0001</v>
      </c>
      <c r="B2054" t="s">
        <v>6</v>
      </c>
      <c r="C2054" s="2" t="s">
        <v>1534</v>
      </c>
      <c r="D2054" s="32"/>
      <c r="E2054" s="35" t="s">
        <v>3141</v>
      </c>
    </row>
    <row r="2055" spans="1:5" x14ac:dyDescent="0.2">
      <c r="A2055" s="34" t="str">
        <f>HYPERLINK("http://www.daganm.co.il/sku/ISDN-0002","ISDN-0002")</f>
        <v>ISDN-0002</v>
      </c>
      <c r="B2055" t="s">
        <v>6</v>
      </c>
      <c r="C2055" s="2" t="s">
        <v>1535</v>
      </c>
      <c r="D2055" s="32"/>
      <c r="E2055" s="35" t="s">
        <v>3142</v>
      </c>
    </row>
    <row r="2056" spans="1:5" x14ac:dyDescent="0.2">
      <c r="A2056" s="34" t="str">
        <f>HYPERLINK("http://www.daganm.co.il/sku/ISDN-0007GY","ISDN-0007GY")</f>
        <v>ISDN-0007GY</v>
      </c>
      <c r="B2056" t="s">
        <v>6</v>
      </c>
      <c r="C2056" s="2" t="s">
        <v>1536</v>
      </c>
      <c r="D2056" s="32"/>
      <c r="E2056" s="35" t="s">
        <v>3143</v>
      </c>
    </row>
    <row r="2057" spans="1:5" x14ac:dyDescent="0.2">
      <c r="A2057" s="34" t="str">
        <f>HYPERLINK("http://www.daganm.co.il/sku/ISDN-0007GR","ISDN-0007GR")</f>
        <v>ISDN-0007GR</v>
      </c>
      <c r="B2057" t="s">
        <v>6</v>
      </c>
      <c r="C2057" s="2" t="s">
        <v>3595</v>
      </c>
      <c r="D2057" s="32"/>
      <c r="E2057" s="35" t="s">
        <v>3673</v>
      </c>
    </row>
    <row r="2058" spans="1:5" x14ac:dyDescent="0.2">
      <c r="A2058" s="34" t="str">
        <f>HYPERLINK("http://www.daganm.co.il/sku/TEL-0040R%20x10","TEL-0040R")</f>
        <v>TEL-0040R</v>
      </c>
      <c r="B2058" t="s">
        <v>6</v>
      </c>
      <c r="C2058" s="2" t="s">
        <v>1537</v>
      </c>
      <c r="D2058" s="32"/>
      <c r="E2058" s="35" t="s">
        <v>3144</v>
      </c>
    </row>
    <row r="2059" spans="1:5" x14ac:dyDescent="0.2">
      <c r="A2059" s="34" t="str">
        <f>HYPERLINK("http://www.daganm.co.il/sku/TEL-0064R%20x10","TEL-0064R")</f>
        <v>TEL-0064R</v>
      </c>
      <c r="B2059" t="s">
        <v>6</v>
      </c>
      <c r="C2059" s="2" t="s">
        <v>1538</v>
      </c>
      <c r="D2059" s="32"/>
      <c r="E2059" s="35" t="s">
        <v>3145</v>
      </c>
    </row>
    <row r="2060" spans="1:5" x14ac:dyDescent="0.2">
      <c r="A2060" s="34" t="str">
        <f>HYPERLINK("http://www.daganm.co.il/sku/TEL-0060R%20x10","TEL-0060R")</f>
        <v>TEL-0060R</v>
      </c>
      <c r="B2060" t="s">
        <v>6</v>
      </c>
      <c r="C2060" s="2" t="s">
        <v>1539</v>
      </c>
      <c r="D2060" s="32"/>
      <c r="E2060" s="35" t="s">
        <v>3146</v>
      </c>
    </row>
    <row r="2061" spans="1:5" x14ac:dyDescent="0.2">
      <c r="A2061" s="34" t="str">
        <f>HYPERLINK("http://www.daganm.co.il/sku/TEL-BT431A%20x10","TEL-BT431A")</f>
        <v>TEL-BT431A</v>
      </c>
      <c r="B2061" t="s">
        <v>6</v>
      </c>
      <c r="C2061" s="2" t="s">
        <v>1540</v>
      </c>
      <c r="D2061" s="32"/>
      <c r="E2061" s="35" t="s">
        <v>3147</v>
      </c>
    </row>
    <row r="2062" spans="1:5" x14ac:dyDescent="0.2">
      <c r="A2062" s="34" t="str">
        <f>HYPERLINK("http://www.daganm.co.il/sku/TEL-0008%208/8","TEL-0008 8/8")</f>
        <v>TEL-0008 8/8</v>
      </c>
      <c r="B2062" t="s">
        <v>6</v>
      </c>
      <c r="C2062" s="2" t="s">
        <v>1541</v>
      </c>
      <c r="D2062" s="32"/>
      <c r="E2062" s="35" t="s">
        <v>3148</v>
      </c>
    </row>
    <row r="2063" spans="1:5" x14ac:dyDescent="0.2">
      <c r="A2063" s="34" t="str">
        <f>HYPERLINK("http://www.daganm.co.il/sku/TEL-0033","TEL-0033")</f>
        <v>TEL-0033</v>
      </c>
      <c r="B2063" t="s">
        <v>6</v>
      </c>
      <c r="C2063" s="2" t="s">
        <v>1542</v>
      </c>
      <c r="D2063" s="32"/>
      <c r="E2063" s="35" t="s">
        <v>3149</v>
      </c>
    </row>
    <row r="2064" spans="1:5" x14ac:dyDescent="0.2">
      <c r="A2064" s="34" t="str">
        <f>HYPERLINK("http://www.daganm.co.il/sku/KEYS-RJ45S2","KEYS-RJ45S2")</f>
        <v>KEYS-RJ45S2</v>
      </c>
      <c r="B2064" t="s">
        <v>6</v>
      </c>
      <c r="C2064" s="2" t="s">
        <v>1543</v>
      </c>
      <c r="D2064" s="32"/>
      <c r="E2064" s="35" t="s">
        <v>3150</v>
      </c>
    </row>
    <row r="2065" spans="1:5" x14ac:dyDescent="0.2">
      <c r="A2065" s="34" t="str">
        <f>HYPERLINK("http://www.daganm.co.il/sku/KEYS-RJ45S35","KEYS-RJ45S35")</f>
        <v>KEYS-RJ45S35</v>
      </c>
      <c r="B2065" t="s">
        <v>6</v>
      </c>
      <c r="C2065" s="2" t="s">
        <v>1544</v>
      </c>
      <c r="D2065" s="32"/>
      <c r="E2065" s="35" t="s">
        <v>3151</v>
      </c>
    </row>
    <row r="2066" spans="1:5" x14ac:dyDescent="0.2">
      <c r="A2066" s="34" t="str">
        <f>HYPERLINK("http://www.daganm.co.il/sku/MX-RJ45SOCKS","MX-RJ45SOCKS")</f>
        <v>MX-RJ45SOCKS</v>
      </c>
      <c r="B2066" t="s">
        <v>6</v>
      </c>
      <c r="C2066" s="2" t="s">
        <v>1545</v>
      </c>
      <c r="D2066" s="32"/>
      <c r="E2066" s="32" t="s">
        <v>3152</v>
      </c>
    </row>
    <row r="2067" spans="1:5" x14ac:dyDescent="0.2">
      <c r="A2067" s="34" t="str">
        <f>HYPERLINK("http://www.daganm.co.il/sku/RJ45SOCK6A10","RJ45SOCK6A10")</f>
        <v>RJ45SOCK6A10</v>
      </c>
      <c r="B2067" t="s">
        <v>6</v>
      </c>
      <c r="C2067" s="2" t="s">
        <v>3596</v>
      </c>
      <c r="D2067" s="32"/>
      <c r="E2067" s="32" t="s">
        <v>3674</v>
      </c>
    </row>
    <row r="2068" spans="1:5" x14ac:dyDescent="0.2">
      <c r="A2068" s="34" t="str">
        <f>HYPERLINK("http://www.daganm.co.il/sku/RJ45SOCK6A30","RJ45SOCK6A30")</f>
        <v>RJ45SOCK6A30</v>
      </c>
      <c r="B2068" t="s">
        <v>6</v>
      </c>
      <c r="C2068" s="2" t="s">
        <v>3903</v>
      </c>
      <c r="D2068" s="32"/>
      <c r="E2068" s="35" t="s">
        <v>3153</v>
      </c>
    </row>
    <row r="2069" spans="1:5" x14ac:dyDescent="0.2">
      <c r="A2069" s="34" t="str">
        <f>HYPERLINK("http://www.daganm.co.il/sku/RJ45SOCK6A31","RJ45SOCK6A31")</f>
        <v>RJ45SOCK6A31</v>
      </c>
      <c r="B2069" t="s">
        <v>6</v>
      </c>
      <c r="C2069" s="2" t="s">
        <v>3903</v>
      </c>
      <c r="D2069" s="32"/>
      <c r="E2069" s="35" t="s">
        <v>3675</v>
      </c>
    </row>
    <row r="2070" spans="1:5" x14ac:dyDescent="0.2">
      <c r="A2070" s="34" t="str">
        <f>HYPERLINK("http://www.daganm.co.il/sku/ISDN-0028","ISDN-0028")</f>
        <v>ISDN-0028</v>
      </c>
      <c r="B2070" t="s">
        <v>6</v>
      </c>
      <c r="C2070" s="2" t="s">
        <v>1546</v>
      </c>
      <c r="D2070" s="32"/>
      <c r="E2070" s="35" t="s">
        <v>3154</v>
      </c>
    </row>
    <row r="2071" spans="1:5" x14ac:dyDescent="0.2">
      <c r="A2071" s="34" t="str">
        <f>HYPERLINK("http://www.daganm.co.il/sku/ISDN-1129","ISDN-1129")</f>
        <v>ISDN-1129</v>
      </c>
      <c r="B2071" t="s">
        <v>6</v>
      </c>
      <c r="C2071" s="2" t="s">
        <v>3597</v>
      </c>
      <c r="D2071" s="32"/>
      <c r="E2071" s="35" t="s">
        <v>4046</v>
      </c>
    </row>
    <row r="2072" spans="1:5" x14ac:dyDescent="0.2">
      <c r="A2072" s="37" t="str">
        <f>HYPERLINK("http://www.daganm.co.il/sku/NETW-CONNBOX1","NETW-CONNBOX1")</f>
        <v>NETW-CONNBOX1</v>
      </c>
      <c r="B2072" t="s">
        <v>6</v>
      </c>
      <c r="C2072" s="2" t="s">
        <v>4188</v>
      </c>
      <c r="D2072" s="32"/>
      <c r="E2072" s="35" t="s">
        <v>4308</v>
      </c>
    </row>
    <row r="2073" spans="1:5" x14ac:dyDescent="0.2">
      <c r="B2073"/>
      <c r="C2073" s="33" t="s">
        <v>89</v>
      </c>
      <c r="D2073" s="32"/>
      <c r="E2073" s="32"/>
    </row>
    <row r="2074" spans="1:5" x14ac:dyDescent="0.2">
      <c r="A2074" s="34" t="str">
        <f>HYPERLINK("http://www.daganm.co.il/sku/DCA1","DCA1")</f>
        <v>DCA1</v>
      </c>
      <c r="B2074" t="s">
        <v>6</v>
      </c>
      <c r="C2074" s="2" t="s">
        <v>1547</v>
      </c>
      <c r="D2074" s="32">
        <v>45442</v>
      </c>
      <c r="E2074" s="35" t="s">
        <v>3155</v>
      </c>
    </row>
    <row r="2075" spans="1:5" x14ac:dyDescent="0.2">
      <c r="A2075" s="34" t="str">
        <f>HYPERLINK("http://www.daganm.co.il/sku/DCA1F","DCA1F")</f>
        <v>DCA1F</v>
      </c>
      <c r="B2075" t="s">
        <v>6</v>
      </c>
      <c r="C2075" s="2" t="s">
        <v>1548</v>
      </c>
      <c r="D2075" s="32"/>
      <c r="E2075" s="35" t="s">
        <v>3156</v>
      </c>
    </row>
    <row r="2076" spans="1:5" x14ac:dyDescent="0.2">
      <c r="A2076" s="34" t="str">
        <f>HYPERLINK("http://www.daganm.co.il/sku/DC-ADAP1","DC-ADAP1")</f>
        <v>DC-ADAP1</v>
      </c>
      <c r="B2076" t="s">
        <v>6</v>
      </c>
      <c r="C2076" s="2" t="s">
        <v>1549</v>
      </c>
      <c r="D2076" s="32"/>
      <c r="E2076" s="35" t="s">
        <v>3157</v>
      </c>
    </row>
    <row r="2077" spans="1:5" x14ac:dyDescent="0.2">
      <c r="A2077" s="34" t="str">
        <f>HYPERLINK("http://www.daganm.co.il/sku/DC-ADAP2","DC-ADAP2")</f>
        <v>DC-ADAP2</v>
      </c>
      <c r="B2077" t="s">
        <v>6</v>
      </c>
      <c r="C2077" s="2" t="s">
        <v>1550</v>
      </c>
      <c r="D2077" s="32">
        <v>45442</v>
      </c>
      <c r="E2077" s="35" t="s">
        <v>3158</v>
      </c>
    </row>
    <row r="2078" spans="1:5" x14ac:dyDescent="0.2">
      <c r="A2078" s="34" t="str">
        <f>HYPERLINK("http://www.daganm.co.il/sku/DC-ADAP3","DC-ADAP3")</f>
        <v>DC-ADAP3</v>
      </c>
      <c r="B2078" t="s">
        <v>6</v>
      </c>
      <c r="C2078" s="2" t="s">
        <v>1551</v>
      </c>
      <c r="D2078" s="32"/>
      <c r="E2078" s="35" t="s">
        <v>3159</v>
      </c>
    </row>
    <row r="2079" spans="1:5" x14ac:dyDescent="0.2">
      <c r="A2079" s="34" t="str">
        <f>HYPERLINK("http://www.daganm.co.il/sku/DC-ADAP4","DC-ADAP4")</f>
        <v>DC-ADAP4</v>
      </c>
      <c r="B2079" t="s">
        <v>6</v>
      </c>
      <c r="C2079" s="2" t="s">
        <v>1552</v>
      </c>
      <c r="D2079" s="32"/>
      <c r="E2079" s="35" t="s">
        <v>3160</v>
      </c>
    </row>
    <row r="2080" spans="1:5" x14ac:dyDescent="0.2">
      <c r="A2080" s="34" t="str">
        <f>HYPERLINK("http://www.daganm.co.il/sku/DC-ADAP5","DC-ADAP5")</f>
        <v>DC-ADAP5</v>
      </c>
      <c r="B2080" t="s">
        <v>6</v>
      </c>
      <c r="C2080" s="2" t="s">
        <v>1553</v>
      </c>
      <c r="D2080" s="32"/>
      <c r="E2080" s="35" t="s">
        <v>3161</v>
      </c>
    </row>
    <row r="2081" spans="1:5" x14ac:dyDescent="0.2">
      <c r="A2081" s="34" t="str">
        <f>HYPERLINK("http://www.daganm.co.il/sku/DC-ADAP7-0.5","DC-ADAP7-0.5")</f>
        <v>DC-ADAP7-0.5</v>
      </c>
      <c r="B2081" t="s">
        <v>6</v>
      </c>
      <c r="C2081" s="2" t="s">
        <v>1554</v>
      </c>
      <c r="D2081" s="32"/>
      <c r="E2081" s="32" t="s">
        <v>3162</v>
      </c>
    </row>
    <row r="2082" spans="1:5" x14ac:dyDescent="0.2">
      <c r="A2082" s="34" t="str">
        <f>HYPERLINK("http://www.daganm.co.il/sku/DC-ADAP7","DC-ADAP7")</f>
        <v>DC-ADAP7</v>
      </c>
      <c r="B2082" t="s">
        <v>6</v>
      </c>
      <c r="C2082" s="2" t="s">
        <v>3598</v>
      </c>
      <c r="D2082" s="32"/>
      <c r="E2082" s="35" t="s">
        <v>3676</v>
      </c>
    </row>
    <row r="2083" spans="1:5" x14ac:dyDescent="0.2">
      <c r="A2083" s="34" t="str">
        <f>HYPERLINK("http://www.daganm.co.il/sku/DC-ADAP7-1.8","DC-ADAP7-1.8")</f>
        <v>DC-ADAP7-1.8</v>
      </c>
      <c r="B2083" t="s">
        <v>6</v>
      </c>
      <c r="C2083" s="2" t="s">
        <v>1555</v>
      </c>
      <c r="D2083" s="32"/>
      <c r="E2083" s="35" t="s">
        <v>3163</v>
      </c>
    </row>
    <row r="2084" spans="1:5" x14ac:dyDescent="0.2">
      <c r="A2084" s="34" t="str">
        <f>HYPERLINK("http://www.daganm.co.il/sku/DC-ADAP8","DC-ADAP8")</f>
        <v>DC-ADAP8</v>
      </c>
      <c r="B2084" t="s">
        <v>6</v>
      </c>
      <c r="C2084" s="2" t="s">
        <v>1556</v>
      </c>
      <c r="D2084" s="32"/>
      <c r="E2084" s="35" t="s">
        <v>3164</v>
      </c>
    </row>
    <row r="2085" spans="1:5" x14ac:dyDescent="0.2">
      <c r="A2085" s="34" t="str">
        <f>HYPERLINK("http://www.daganm.co.il/sku/DC-ADAP9-1.8","DC-ADAP9-1.8")</f>
        <v>DC-ADAP9-1.8</v>
      </c>
      <c r="B2085" t="s">
        <v>6</v>
      </c>
      <c r="C2085" s="2" t="s">
        <v>1557</v>
      </c>
      <c r="D2085" s="32"/>
      <c r="E2085" s="35" t="s">
        <v>3165</v>
      </c>
    </row>
    <row r="2086" spans="1:5" x14ac:dyDescent="0.2">
      <c r="A2086" s="34" t="str">
        <f>HYPERLINK("http://www.daganm.co.il/sku/DC-SPL4","DC-SPL4")</f>
        <v>DC-SPL4</v>
      </c>
      <c r="B2086" t="s">
        <v>6</v>
      </c>
      <c r="C2086" s="2" t="s">
        <v>1558</v>
      </c>
      <c r="D2086" s="32" t="s">
        <v>2</v>
      </c>
      <c r="E2086" s="35" t="s">
        <v>3166</v>
      </c>
    </row>
    <row r="2087" spans="1:5" ht="16.5" x14ac:dyDescent="0.25">
      <c r="B2087"/>
      <c r="C2087" s="31" t="s">
        <v>3599</v>
      </c>
      <c r="D2087" s="32"/>
      <c r="E2087" s="35"/>
    </row>
    <row r="2088" spans="1:5" x14ac:dyDescent="0.2">
      <c r="B2088"/>
      <c r="C2088" s="33" t="s">
        <v>90</v>
      </c>
      <c r="D2088" s="36"/>
      <c r="E2088" s="35"/>
    </row>
    <row r="2089" spans="1:5" x14ac:dyDescent="0.2">
      <c r="A2089" s="34" t="str">
        <f>HYPERLINK("http://www.daganm.co.il/sku/WALL-BOXPN11","WALL-BOXPN11")</f>
        <v>WALL-BOXPN11</v>
      </c>
      <c r="B2089" t="s">
        <v>6</v>
      </c>
      <c r="C2089" s="2" t="s">
        <v>1559</v>
      </c>
      <c r="D2089" s="36"/>
      <c r="E2089" s="35" t="s">
        <v>3167</v>
      </c>
    </row>
    <row r="2090" spans="1:5" x14ac:dyDescent="0.2">
      <c r="A2090" s="34" t="str">
        <f>HYPERLINK("http://www.daganm.co.il/sku/WALL-BOXPN21","WALL-BOXPN21")</f>
        <v>WALL-BOXPN21</v>
      </c>
      <c r="B2090" t="s">
        <v>6</v>
      </c>
      <c r="C2090" s="2" t="s">
        <v>1560</v>
      </c>
      <c r="D2090" s="32"/>
      <c r="E2090" s="35" t="s">
        <v>3168</v>
      </c>
    </row>
    <row r="2091" spans="1:5" x14ac:dyDescent="0.2">
      <c r="A2091" s="34" t="str">
        <f>HYPERLINK("http://www.daganm.co.il/sku/WALL-BOXPN27","WALL-BOXPN27")</f>
        <v>WALL-BOXPN27</v>
      </c>
      <c r="B2091" t="s">
        <v>6</v>
      </c>
      <c r="C2091" s="2" t="s">
        <v>1561</v>
      </c>
      <c r="D2091" s="36" t="s">
        <v>2</v>
      </c>
      <c r="E2091" s="35" t="s">
        <v>3169</v>
      </c>
    </row>
    <row r="2092" spans="1:5" x14ac:dyDescent="0.2">
      <c r="A2092" s="34" t="str">
        <f>HYPERLINK("http://www.daganm.co.il/sku/OPT-BOX1","OPT-BOX1")</f>
        <v>OPT-BOX1</v>
      </c>
      <c r="B2092" t="s">
        <v>6</v>
      </c>
      <c r="C2092" s="2" t="s">
        <v>1562</v>
      </c>
      <c r="D2092" s="32"/>
      <c r="E2092" s="35" t="s">
        <v>3170</v>
      </c>
    </row>
    <row r="2093" spans="1:5" x14ac:dyDescent="0.2">
      <c r="A2093" s="34" t="str">
        <f>HYPERLINK("http://www.daganm.co.il/sku/OPT-BOX16","OPT-BOX16")</f>
        <v>OPT-BOX16</v>
      </c>
      <c r="B2093" t="s">
        <v>6</v>
      </c>
      <c r="C2093" s="2" t="s">
        <v>3363</v>
      </c>
      <c r="D2093" s="32"/>
      <c r="E2093" s="32" t="s">
        <v>3497</v>
      </c>
    </row>
    <row r="2094" spans="1:5" x14ac:dyDescent="0.2">
      <c r="B2094"/>
      <c r="C2094" s="33" t="s">
        <v>91</v>
      </c>
      <c r="D2094" s="32"/>
      <c r="E2094" s="35"/>
    </row>
    <row r="2095" spans="1:5" x14ac:dyDescent="0.2">
      <c r="A2095" s="34" t="str">
        <f>HYPERLINK("http://www.daganm.co.il/sku/PPN2235","PPN2235")</f>
        <v>PPN2235</v>
      </c>
      <c r="B2095" t="s">
        <v>6</v>
      </c>
      <c r="C2095" s="2" t="s">
        <v>1563</v>
      </c>
      <c r="D2095" s="32"/>
      <c r="E2095" s="35" t="s">
        <v>3171</v>
      </c>
    </row>
    <row r="2096" spans="1:5" x14ac:dyDescent="0.2">
      <c r="A2096" s="34" t="str">
        <f>HYPERLINK("http://www.daganm.co.il/sku/PPN101008","PPN101008")</f>
        <v>PPN101008</v>
      </c>
      <c r="B2096" t="s">
        <v>6</v>
      </c>
      <c r="C2096" s="2" t="s">
        <v>3364</v>
      </c>
      <c r="D2096" s="32"/>
      <c r="E2096" s="35" t="s">
        <v>3172</v>
      </c>
    </row>
    <row r="2097" spans="1:5" x14ac:dyDescent="0.2">
      <c r="A2097" s="34" t="str">
        <f>HYPERLINK("http://www.daganm.co.il/sku/PPN101012","PPN101012")</f>
        <v>PPN101012</v>
      </c>
      <c r="B2097" t="s">
        <v>6</v>
      </c>
      <c r="C2097" s="2" t="s">
        <v>3365</v>
      </c>
      <c r="D2097" s="32"/>
      <c r="E2097" s="32" t="s">
        <v>3173</v>
      </c>
    </row>
    <row r="2098" spans="1:5" x14ac:dyDescent="0.2">
      <c r="A2098" s="34" t="str">
        <f>HYPERLINK("http://www.daganm.co.il/sku/PPN2500","PPN2500")</f>
        <v>PPN2500</v>
      </c>
      <c r="B2098" t="s">
        <v>6</v>
      </c>
      <c r="C2098" s="2" t="s">
        <v>1564</v>
      </c>
      <c r="D2098" s="32"/>
      <c r="E2098" s="35" t="s">
        <v>3174</v>
      </c>
    </row>
    <row r="2099" spans="1:5" x14ac:dyDescent="0.2">
      <c r="A2099" s="34" t="str">
        <f>HYPERLINK("http://www.daganm.co.il/sku/PPN2238","PPN2238")</f>
        <v>PPN2238</v>
      </c>
      <c r="B2099" t="s">
        <v>6</v>
      </c>
      <c r="C2099" s="2" t="s">
        <v>3904</v>
      </c>
      <c r="D2099" s="32"/>
      <c r="E2099" s="35" t="s">
        <v>3175</v>
      </c>
    </row>
    <row r="2100" spans="1:5" x14ac:dyDescent="0.2">
      <c r="A2100" s="34" t="str">
        <f>HYPERLINK("http://www.daganm.co.il/sku/PPN2513","PPN2513")</f>
        <v>PPN2513</v>
      </c>
      <c r="B2100" t="s">
        <v>6</v>
      </c>
      <c r="C2100" s="2" t="s">
        <v>3905</v>
      </c>
      <c r="D2100" s="32"/>
      <c r="E2100" s="35" t="s">
        <v>3176</v>
      </c>
    </row>
    <row r="2101" spans="1:5" x14ac:dyDescent="0.2">
      <c r="A2101" s="34" t="str">
        <f>HYPERLINK("http://www.daganm.co.il/sku/PPN2229","PPN2229")</f>
        <v>PPN2229</v>
      </c>
      <c r="B2101" t="s">
        <v>6</v>
      </c>
      <c r="C2101" s="2" t="s">
        <v>3366</v>
      </c>
      <c r="D2101" s="32"/>
      <c r="E2101" s="35" t="s">
        <v>3498</v>
      </c>
    </row>
    <row r="2102" spans="1:5" x14ac:dyDescent="0.2">
      <c r="B2102"/>
      <c r="C2102" s="33" t="s">
        <v>92</v>
      </c>
      <c r="D2102" s="32"/>
      <c r="E2102" s="35"/>
    </row>
    <row r="2103" spans="1:5" x14ac:dyDescent="0.2">
      <c r="A2103" s="34" t="str">
        <f>HYPERLINK("http://www.daganm.co.il/sku/PPN5001","PPN5001")</f>
        <v>PPN5001</v>
      </c>
      <c r="B2103" t="s">
        <v>6</v>
      </c>
      <c r="C2103" s="2" t="s">
        <v>1565</v>
      </c>
      <c r="D2103" s="32"/>
      <c r="E2103" s="35" t="s">
        <v>3177</v>
      </c>
    </row>
    <row r="2104" spans="1:5" x14ac:dyDescent="0.2">
      <c r="A2104" s="34" t="str">
        <f>HYPERLINK("http://www.daganm.co.il/sku/PPN5002","PPN5002")</f>
        <v>PPN5002</v>
      </c>
      <c r="B2104" t="s">
        <v>6</v>
      </c>
      <c r="C2104" s="2" t="s">
        <v>1566</v>
      </c>
      <c r="D2104" s="32"/>
      <c r="E2104" s="35" t="s">
        <v>3178</v>
      </c>
    </row>
    <row r="2105" spans="1:5" x14ac:dyDescent="0.2">
      <c r="A2105" s="34" t="str">
        <f>HYPERLINK("http://www.daganm.co.il/sku/PPN5003","PPN5003")</f>
        <v>PPN5003</v>
      </c>
      <c r="B2105" t="s">
        <v>6</v>
      </c>
      <c r="C2105" s="2" t="s">
        <v>1567</v>
      </c>
      <c r="D2105" s="32"/>
      <c r="E2105" s="35" t="s">
        <v>3179</v>
      </c>
    </row>
    <row r="2106" spans="1:5" x14ac:dyDescent="0.2">
      <c r="A2106" s="34" t="str">
        <f>HYPERLINK("http://www.daganm.co.il/sku/PPN5004","PPN5004")</f>
        <v>PPN5004</v>
      </c>
      <c r="B2106" t="s">
        <v>6</v>
      </c>
      <c r="C2106" s="2" t="s">
        <v>1568</v>
      </c>
      <c r="D2106" s="32"/>
      <c r="E2106" s="35" t="s">
        <v>3180</v>
      </c>
    </row>
    <row r="2107" spans="1:5" x14ac:dyDescent="0.2">
      <c r="A2107" s="34" t="str">
        <f>HYPERLINK("http://www.daganm.co.il/sku/PPN5005","PPN5005")</f>
        <v>PPN5005</v>
      </c>
      <c r="B2107" t="s">
        <v>6</v>
      </c>
      <c r="C2107" s="2" t="s">
        <v>1569</v>
      </c>
      <c r="D2107" s="32"/>
      <c r="E2107" s="35" t="s">
        <v>3181</v>
      </c>
    </row>
    <row r="2108" spans="1:5" x14ac:dyDescent="0.2">
      <c r="A2108" s="34" t="str">
        <f>HYPERLINK("http://www.daganm.co.il/sku/PPN5006","PPN5006")</f>
        <v>PPN5006</v>
      </c>
      <c r="B2108" t="s">
        <v>6</v>
      </c>
      <c r="C2108" s="2" t="s">
        <v>1570</v>
      </c>
      <c r="D2108" s="32"/>
      <c r="E2108" s="35" t="s">
        <v>3182</v>
      </c>
    </row>
    <row r="2109" spans="1:5" x14ac:dyDescent="0.2">
      <c r="A2109" s="34" t="str">
        <f>HYPERLINK("http://www.daganm.co.il/sku/PPN5007","PPN5007")</f>
        <v>PPN5007</v>
      </c>
      <c r="B2109" t="s">
        <v>6</v>
      </c>
      <c r="C2109" s="2" t="s">
        <v>3906</v>
      </c>
      <c r="D2109" s="32"/>
      <c r="E2109" s="35" t="s">
        <v>4047</v>
      </c>
    </row>
    <row r="2110" spans="1:5" x14ac:dyDescent="0.2">
      <c r="A2110" s="34" t="str">
        <f>HYPERLINK("http://www.daganm.co.il/sku/PPN5008","PPN5008")</f>
        <v>PPN5008</v>
      </c>
      <c r="B2110" t="s">
        <v>6</v>
      </c>
      <c r="C2110" s="2" t="s">
        <v>3907</v>
      </c>
      <c r="D2110" s="32"/>
      <c r="E2110" s="32" t="s">
        <v>4048</v>
      </c>
    </row>
    <row r="2111" spans="1:5" x14ac:dyDescent="0.2">
      <c r="A2111" s="34" t="str">
        <f>HYPERLINK("http://www.daganm.co.il/sku/PPN500-COV","PPN500-COV")</f>
        <v>PPN500-COV</v>
      </c>
      <c r="B2111" t="s">
        <v>6</v>
      </c>
      <c r="C2111" s="2" t="s">
        <v>1571</v>
      </c>
      <c r="D2111" s="32"/>
      <c r="E2111" s="35" t="s">
        <v>3183</v>
      </c>
    </row>
    <row r="2112" spans="1:5" x14ac:dyDescent="0.2">
      <c r="A2112" s="34" t="str">
        <f>HYPERLINK("http://www.daganm.co.il/sku/PPN500-DUP","PPN500-DUP")</f>
        <v>PPN500-DUP</v>
      </c>
      <c r="B2112" t="s">
        <v>6</v>
      </c>
      <c r="C2112" s="2" t="s">
        <v>3367</v>
      </c>
      <c r="D2112" s="32"/>
      <c r="E2112" s="35" t="s">
        <v>3499</v>
      </c>
    </row>
    <row r="2113" spans="1:5" x14ac:dyDescent="0.2">
      <c r="A2113" s="34" t="str">
        <f>HYPERLINK("http://www.daganm.co.il/sku/PPN500-SIM","PPN500-SIM")</f>
        <v>PPN500-SIM</v>
      </c>
      <c r="B2113" t="s">
        <v>6</v>
      </c>
      <c r="C2113" s="2" t="s">
        <v>3368</v>
      </c>
      <c r="D2113" s="32"/>
      <c r="E2113" s="35" t="s">
        <v>3500</v>
      </c>
    </row>
    <row r="2114" spans="1:5" x14ac:dyDescent="0.2">
      <c r="B2114"/>
      <c r="C2114" s="33" t="s">
        <v>3600</v>
      </c>
      <c r="D2114" s="36"/>
      <c r="E2114" s="35"/>
    </row>
    <row r="2115" spans="1:5" x14ac:dyDescent="0.2">
      <c r="A2115" s="34" t="str">
        <f>HYPERLINK("http://www.daganm.co.il/sku/OPT-BOX22","OPT-BOX22")</f>
        <v>OPT-BOX22</v>
      </c>
      <c r="B2115" t="s">
        <v>6</v>
      </c>
      <c r="C2115" s="2" t="s">
        <v>1572</v>
      </c>
      <c r="D2115" s="32"/>
      <c r="E2115" s="35" t="s">
        <v>3184</v>
      </c>
    </row>
    <row r="2116" spans="1:5" x14ac:dyDescent="0.2">
      <c r="A2116" s="34" t="str">
        <f>HYPERLINK("http://www.daganm.co.il/sku/OPT-BOX23","OPT-BOX23")</f>
        <v>OPT-BOX23</v>
      </c>
      <c r="B2116" t="s">
        <v>6</v>
      </c>
      <c r="C2116" s="2" t="s">
        <v>1573</v>
      </c>
      <c r="D2116" s="32"/>
      <c r="E2116" s="35" t="s">
        <v>3185</v>
      </c>
    </row>
    <row r="2117" spans="1:5" x14ac:dyDescent="0.2">
      <c r="A2117" s="34" t="str">
        <f>HYPERLINK("http://www.daganm.co.il/sku/DIN-BOX1","DIN-BOX1")</f>
        <v>DIN-BOX1</v>
      </c>
      <c r="B2117" t="s">
        <v>6</v>
      </c>
      <c r="C2117" s="2" t="s">
        <v>3908</v>
      </c>
      <c r="D2117" s="32"/>
      <c r="E2117" s="35" t="s">
        <v>3677</v>
      </c>
    </row>
    <row r="2118" spans="1:5" x14ac:dyDescent="0.2">
      <c r="B2118"/>
      <c r="C2118" s="33" t="s">
        <v>93</v>
      </c>
      <c r="D2118" s="32"/>
      <c r="E2118" s="35"/>
    </row>
    <row r="2119" spans="1:5" x14ac:dyDescent="0.2">
      <c r="A2119" s="34" t="str">
        <f>HYPERLINK("http://www.daganm.co.il/sku/PPN8214","PPN8214")</f>
        <v>PPN8214</v>
      </c>
      <c r="B2119" t="s">
        <v>6</v>
      </c>
      <c r="C2119" s="2" t="s">
        <v>1574</v>
      </c>
      <c r="D2119" s="32"/>
      <c r="E2119" s="32" t="s">
        <v>3186</v>
      </c>
    </row>
    <row r="2120" spans="1:5" x14ac:dyDescent="0.2">
      <c r="A2120" s="34" t="str">
        <f>HYPERLINK("http://www.daganm.co.il/sku/PPN8215","PPN8215")</f>
        <v>PPN8215</v>
      </c>
      <c r="B2120" t="s">
        <v>6</v>
      </c>
      <c r="C2120" s="2" t="s">
        <v>3909</v>
      </c>
      <c r="D2120" s="32"/>
      <c r="E2120" s="35" t="s">
        <v>3187</v>
      </c>
    </row>
    <row r="2121" spans="1:5" x14ac:dyDescent="0.2">
      <c r="A2121" s="34" t="str">
        <f>HYPERLINK("http://www.daganm.co.il/sku/PPN8215-2","PPN8215-2")</f>
        <v>PPN8215-2</v>
      </c>
      <c r="B2121" t="s">
        <v>6</v>
      </c>
      <c r="C2121" s="2" t="s">
        <v>3910</v>
      </c>
      <c r="D2121" s="32"/>
      <c r="E2121" s="35" t="s">
        <v>3678</v>
      </c>
    </row>
    <row r="2122" spans="1:5" x14ac:dyDescent="0.2">
      <c r="A2122" s="34" t="str">
        <f>HYPERLINK("http://www.daganm.co.il/sku/PPN8215-3","PPN8215-3")</f>
        <v>PPN8215-3</v>
      </c>
      <c r="B2122" t="s">
        <v>6</v>
      </c>
      <c r="C2122" s="2" t="s">
        <v>3911</v>
      </c>
      <c r="D2122" s="32"/>
      <c r="E2122" s="35" t="s">
        <v>4049</v>
      </c>
    </row>
    <row r="2123" spans="1:5" x14ac:dyDescent="0.2">
      <c r="A2123" s="34" t="str">
        <f>HYPERLINK("http://www.daganm.co.il/sku/PPN8215-4","PPN8215-4")</f>
        <v>PPN8215-4</v>
      </c>
      <c r="B2123" t="s">
        <v>6</v>
      </c>
      <c r="C2123" s="2" t="s">
        <v>3912</v>
      </c>
      <c r="D2123" s="32"/>
      <c r="E2123" s="35" t="s">
        <v>4050</v>
      </c>
    </row>
    <row r="2124" spans="1:5" x14ac:dyDescent="0.2">
      <c r="A2124" s="34" t="str">
        <f>HYPERLINK("http://www.daganm.co.il/sku/PPN8217","PPN8217")</f>
        <v>PPN8217</v>
      </c>
      <c r="B2124" t="s">
        <v>6</v>
      </c>
      <c r="C2124" s="2" t="s">
        <v>1575</v>
      </c>
      <c r="D2124" s="32"/>
      <c r="E2124" s="35" t="s">
        <v>3188</v>
      </c>
    </row>
    <row r="2125" spans="1:5" x14ac:dyDescent="0.2">
      <c r="A2125" s="34" t="str">
        <f>HYPERLINK("http://www.daganm.co.il/sku/PPN8218","PPN8218")</f>
        <v>PPN8218</v>
      </c>
      <c r="B2125" t="s">
        <v>6</v>
      </c>
      <c r="C2125" s="2" t="s">
        <v>3913</v>
      </c>
      <c r="D2125" s="32">
        <v>45442</v>
      </c>
      <c r="E2125" s="35" t="s">
        <v>4051</v>
      </c>
    </row>
    <row r="2126" spans="1:5" x14ac:dyDescent="0.2">
      <c r="A2126" s="34" t="str">
        <f>HYPERLINK("http://www.daganm.co.il/sku/PPN9900","PPN9900")</f>
        <v>PPN9900</v>
      </c>
      <c r="B2126" t="s">
        <v>6</v>
      </c>
      <c r="C2126" s="2" t="s">
        <v>1576</v>
      </c>
      <c r="D2126" s="32" t="s">
        <v>2</v>
      </c>
      <c r="E2126" s="35" t="s">
        <v>3189</v>
      </c>
    </row>
    <row r="2127" spans="1:5" x14ac:dyDescent="0.2">
      <c r="A2127" s="34" t="str">
        <f>HYPERLINK("http://www.daganm.co.il/sku/PPN9915","PPN9915")</f>
        <v>PPN9915</v>
      </c>
      <c r="B2127" t="s">
        <v>6</v>
      </c>
      <c r="C2127" s="2" t="s">
        <v>1577</v>
      </c>
      <c r="D2127" s="32" t="s">
        <v>2</v>
      </c>
      <c r="E2127" s="35" t="s">
        <v>3190</v>
      </c>
    </row>
    <row r="2128" spans="1:5" x14ac:dyDescent="0.2">
      <c r="A2128" s="34" t="str">
        <f>HYPERLINK("http://www.daganm.co.il/sku/PPN9974","PPN9974")</f>
        <v>PPN9974</v>
      </c>
      <c r="B2128" t="s">
        <v>6</v>
      </c>
      <c r="C2128" s="2" t="s">
        <v>3601</v>
      </c>
      <c r="D2128" s="32" t="s">
        <v>2</v>
      </c>
      <c r="E2128" s="35" t="s">
        <v>3679</v>
      </c>
    </row>
    <row r="2129" spans="1:5" x14ac:dyDescent="0.2">
      <c r="A2129" s="34" t="str">
        <f>HYPERLINK("http://www.daganm.co.il/sku/NETW-SCR-M6%20x50","NETW-SCR-M6")</f>
        <v>NETW-SCR-M6</v>
      </c>
      <c r="B2129" t="s">
        <v>1578</v>
      </c>
      <c r="C2129" s="2" t="s">
        <v>3697</v>
      </c>
      <c r="D2129" s="32"/>
      <c r="E2129" s="35" t="s">
        <v>3191</v>
      </c>
    </row>
    <row r="2130" spans="1:5" x14ac:dyDescent="0.2">
      <c r="A2130" s="34" t="str">
        <f>HYPERLINK("http://www.daganm.co.il/sku/NETW-SCR-M5%20x100","NETW-SCR-M5")</f>
        <v>NETW-SCR-M5</v>
      </c>
      <c r="B2130" t="s">
        <v>1578</v>
      </c>
      <c r="C2130" s="2" t="s">
        <v>1579</v>
      </c>
      <c r="D2130" s="32"/>
      <c r="E2130" s="35" t="s">
        <v>3192</v>
      </c>
    </row>
    <row r="2131" spans="1:5" x14ac:dyDescent="0.2">
      <c r="B2131"/>
      <c r="C2131" s="33" t="s">
        <v>3602</v>
      </c>
      <c r="D2131" s="32"/>
      <c r="E2131" s="35"/>
    </row>
    <row r="2132" spans="1:5" x14ac:dyDescent="0.2">
      <c r="A2132" s="34" t="str">
        <f>HYPERLINK("http://www.daganm.co.il/sku/CLOSURE10","CLOSURE10")</f>
        <v>CLOSURE10</v>
      </c>
      <c r="B2132" t="s">
        <v>6</v>
      </c>
      <c r="C2132" s="2" t="s">
        <v>3914</v>
      </c>
      <c r="D2132" s="32"/>
      <c r="E2132" s="35" t="s">
        <v>3680</v>
      </c>
    </row>
    <row r="2133" spans="1:5" x14ac:dyDescent="0.2">
      <c r="A2133" s="34" t="str">
        <f>HYPERLINK("http://www.daganm.co.il/sku/CLOSURE20","CLOSURE20")</f>
        <v>CLOSURE20</v>
      </c>
      <c r="B2133" t="s">
        <v>6</v>
      </c>
      <c r="C2133" s="2" t="s">
        <v>3915</v>
      </c>
      <c r="D2133" s="32"/>
      <c r="E2133" s="35" t="s">
        <v>3681</v>
      </c>
    </row>
    <row r="2134" spans="1:5" x14ac:dyDescent="0.2">
      <c r="A2134" s="34" t="str">
        <f>HYPERLINK("http://www.daganm.co.il/sku/CLOSURE30","CLOSURE30")</f>
        <v>CLOSURE30</v>
      </c>
      <c r="B2134" t="s">
        <v>6</v>
      </c>
      <c r="C2134" s="2" t="s">
        <v>3916</v>
      </c>
      <c r="D2134" s="32"/>
      <c r="E2134" s="35" t="s">
        <v>3682</v>
      </c>
    </row>
    <row r="2135" spans="1:5" x14ac:dyDescent="0.2">
      <c r="A2135" s="34" t="str">
        <f>HYPERLINK("http://www.daganm.co.il/sku/CLOSURE40","CLOSURE40")</f>
        <v>CLOSURE40</v>
      </c>
      <c r="B2135" t="s">
        <v>6</v>
      </c>
      <c r="C2135" s="2" t="s">
        <v>3917</v>
      </c>
      <c r="D2135" s="32"/>
      <c r="E2135" s="35" t="s">
        <v>3683</v>
      </c>
    </row>
    <row r="2136" spans="1:5" x14ac:dyDescent="0.2">
      <c r="A2136" s="34" t="str">
        <f>HYPERLINK("http://www.daganm.co.il/sku/CLOSURE50","CLOSURE50")</f>
        <v>CLOSURE50</v>
      </c>
      <c r="B2136" t="s">
        <v>6</v>
      </c>
      <c r="C2136" s="2" t="s">
        <v>3918</v>
      </c>
      <c r="D2136" s="32"/>
      <c r="E2136" s="35" t="s">
        <v>3684</v>
      </c>
    </row>
    <row r="2137" spans="1:5" x14ac:dyDescent="0.2">
      <c r="A2137" s="34" t="str">
        <f>HYPERLINK("http://www.daganm.co.il/sku/OPT-SPTRAY31","OPT-SPTRAY31")</f>
        <v>OPT-SPTRAY31</v>
      </c>
      <c r="B2137" t="s">
        <v>6</v>
      </c>
      <c r="C2137" s="2" t="s">
        <v>3919</v>
      </c>
      <c r="D2137" s="32"/>
      <c r="E2137" s="35" t="s">
        <v>3685</v>
      </c>
    </row>
    <row r="2138" spans="1:5" x14ac:dyDescent="0.2">
      <c r="A2138" s="34" t="str">
        <f>HYPERLINK("http://www.daganm.co.il/sku/OPT-SPTRAY32","OPT-SPTRAY32")</f>
        <v>OPT-SPTRAY32</v>
      </c>
      <c r="B2138" t="s">
        <v>6</v>
      </c>
      <c r="C2138" s="2" t="s">
        <v>3920</v>
      </c>
      <c r="D2138" s="32"/>
      <c r="E2138" s="35" t="s">
        <v>3686</v>
      </c>
    </row>
    <row r="2139" spans="1:5" x14ac:dyDescent="0.2">
      <c r="A2139" s="34" t="str">
        <f>HYPERLINK("http://www.daganm.co.il/sku/OPT-SPTRAY33","OPT-SPTRAY33")</f>
        <v>OPT-SPTRAY33</v>
      </c>
      <c r="B2139" t="s">
        <v>6</v>
      </c>
      <c r="C2139" s="2" t="s">
        <v>3921</v>
      </c>
      <c r="D2139" s="32"/>
      <c r="E2139" s="35" t="s">
        <v>3687</v>
      </c>
    </row>
    <row r="2140" spans="1:5" x14ac:dyDescent="0.2">
      <c r="B2140"/>
      <c r="C2140" s="33" t="s">
        <v>94</v>
      </c>
      <c r="D2140" s="32"/>
      <c r="E2140" s="35"/>
    </row>
    <row r="2141" spans="1:5" x14ac:dyDescent="0.2">
      <c r="A2141" s="34" t="str">
        <f>HYPERLINK("http://www.daganm.co.il/sku/BRC10","BRC10")</f>
        <v>BRC10</v>
      </c>
      <c r="B2141" t="s">
        <v>6</v>
      </c>
      <c r="C2141" s="2" t="s">
        <v>4189</v>
      </c>
      <c r="D2141" s="32" t="s">
        <v>2</v>
      </c>
      <c r="E2141" s="32" t="s">
        <v>3195</v>
      </c>
    </row>
    <row r="2142" spans="1:5" x14ac:dyDescent="0.2">
      <c r="A2142" s="34" t="str">
        <f>HYPERLINK("http://www.daganm.co.il/sku/TFL18010001","TFL18010001")</f>
        <v>TFL18010001</v>
      </c>
      <c r="B2142" t="s">
        <v>6</v>
      </c>
      <c r="C2142" s="2" t="s">
        <v>4190</v>
      </c>
      <c r="D2142" s="32"/>
      <c r="E2142" s="32" t="s">
        <v>3628</v>
      </c>
    </row>
    <row r="2143" spans="1:5" x14ac:dyDescent="0.2">
      <c r="A2143" s="34" t="str">
        <f>HYPERLINK("http://www.daganm.co.il/sku/TFL18011004","TFL18011004")</f>
        <v>TFL18011004</v>
      </c>
      <c r="B2143" t="s">
        <v>6</v>
      </c>
      <c r="C2143" s="2" t="s">
        <v>3922</v>
      </c>
      <c r="D2143" s="32"/>
      <c r="E2143" s="35" t="s">
        <v>3628</v>
      </c>
    </row>
    <row r="2144" spans="1:5" x14ac:dyDescent="0.2">
      <c r="A2144" s="34" t="str">
        <f>HYPERLINK("http://www.daganm.co.il/sku/TFL18011005","TFL18011005")</f>
        <v>TFL18011005</v>
      </c>
      <c r="B2144" t="s">
        <v>6</v>
      </c>
      <c r="C2144" s="2" t="s">
        <v>3923</v>
      </c>
      <c r="D2144" s="32"/>
      <c r="E2144" s="35" t="s">
        <v>3628</v>
      </c>
    </row>
    <row r="2145" spans="1:5" x14ac:dyDescent="0.2">
      <c r="A2145" s="34" t="str">
        <f>HYPERLINK("http://www.daganm.co.il/sku/KEYS-BOX3","KEYS-BOX3")</f>
        <v>KEYS-BOX3</v>
      </c>
      <c r="B2145" t="s">
        <v>6</v>
      </c>
      <c r="C2145" s="2" t="s">
        <v>3924</v>
      </c>
      <c r="D2145" s="32"/>
      <c r="E2145" s="35" t="s">
        <v>3193</v>
      </c>
    </row>
    <row r="2146" spans="1:5" x14ac:dyDescent="0.2">
      <c r="A2146" s="34" t="str">
        <f>HYPERLINK("http://www.daganm.co.il/sku/KEYS-BOX4","KEYS-BOX4")</f>
        <v>KEYS-BOX4</v>
      </c>
      <c r="B2146" t="s">
        <v>6</v>
      </c>
      <c r="C2146" s="2" t="s">
        <v>3925</v>
      </c>
      <c r="D2146" s="32"/>
      <c r="E2146" s="35" t="s">
        <v>3194</v>
      </c>
    </row>
    <row r="2147" spans="1:5" x14ac:dyDescent="0.2">
      <c r="A2147" s="34" t="str">
        <f>HYPERLINK("http://www.daganm.co.il/sku/BOX15-4","BOX15-4/AL")</f>
        <v>BOX15-4/AL</v>
      </c>
      <c r="B2147" t="s">
        <v>6</v>
      </c>
      <c r="C2147" s="2" t="s">
        <v>3926</v>
      </c>
      <c r="D2147" s="32"/>
      <c r="E2147" s="35" t="s">
        <v>4052</v>
      </c>
    </row>
    <row r="2148" spans="1:5" x14ac:dyDescent="0.2">
      <c r="A2148" s="34" t="str">
        <f>HYPERLINK("http://www.daganm.co.il/sku/BOX15-4","BOX15-4/BL")</f>
        <v>BOX15-4/BL</v>
      </c>
      <c r="B2148" t="s">
        <v>6</v>
      </c>
      <c r="C2148" s="2" t="s">
        <v>3927</v>
      </c>
      <c r="D2148" s="32"/>
      <c r="E2148" s="35" t="s">
        <v>4053</v>
      </c>
    </row>
    <row r="2149" spans="1:5" x14ac:dyDescent="0.2">
      <c r="A2149" s="34" t="str">
        <f>HYPERLINK("http://www.daganm.co.il/sku/BOX15-8","BOX15-8/AL")</f>
        <v>BOX15-8/AL</v>
      </c>
      <c r="B2149" t="s">
        <v>6</v>
      </c>
      <c r="C2149" s="2" t="s">
        <v>3928</v>
      </c>
      <c r="D2149" s="32"/>
      <c r="E2149" s="35" t="s">
        <v>4054</v>
      </c>
    </row>
    <row r="2150" spans="1:5" x14ac:dyDescent="0.2">
      <c r="A2150" s="34" t="str">
        <f>HYPERLINK("http://www.daganm.co.il/sku/BOX15-8","BOX15-8/BL")</f>
        <v>BOX15-8/BL</v>
      </c>
      <c r="B2150" t="s">
        <v>6</v>
      </c>
      <c r="C2150" s="2" t="s">
        <v>3929</v>
      </c>
      <c r="D2150" s="32"/>
      <c r="E2150" s="35" t="s">
        <v>4055</v>
      </c>
    </row>
    <row r="2151" spans="1:5" x14ac:dyDescent="0.2">
      <c r="A2151" s="34" t="str">
        <f>HYPERLINK("http://www.daganm.co.il/sku/BOX15-12","BOX15-12/AL")</f>
        <v>BOX15-12/AL</v>
      </c>
      <c r="B2151" t="s">
        <v>6</v>
      </c>
      <c r="C2151" s="2" t="s">
        <v>3930</v>
      </c>
      <c r="D2151" s="32"/>
      <c r="E2151" s="35" t="s">
        <v>4056</v>
      </c>
    </row>
    <row r="2152" spans="1:5" x14ac:dyDescent="0.2">
      <c r="A2152" s="34" t="str">
        <f>HYPERLINK("http://www.daganm.co.il/sku/BOX15-12","BOX15-12/BL")</f>
        <v>BOX15-12/BL</v>
      </c>
      <c r="B2152" t="s">
        <v>6</v>
      </c>
      <c r="C2152" s="2" t="s">
        <v>3931</v>
      </c>
      <c r="D2152" s="32"/>
      <c r="E2152" s="35" t="s">
        <v>4057</v>
      </c>
    </row>
    <row r="2153" spans="1:5" x14ac:dyDescent="0.2">
      <c r="A2153" s="34" t="str">
        <f>HYPERLINK("http://www.daganm.co.il/sku/BOX24-8","BOX24-8/AL")</f>
        <v>BOX24-8/AL</v>
      </c>
      <c r="B2153" t="s">
        <v>6</v>
      </c>
      <c r="C2153" s="2" t="s">
        <v>3932</v>
      </c>
      <c r="D2153" s="32"/>
      <c r="E2153" s="35" t="s">
        <v>4058</v>
      </c>
    </row>
    <row r="2154" spans="1:5" x14ac:dyDescent="0.2">
      <c r="A2154" s="34" t="str">
        <f>HYPERLINK("http://www.daganm.co.il/sku/BOX24-8","BOX24-8/BL")</f>
        <v>BOX24-8/BL</v>
      </c>
      <c r="B2154" t="s">
        <v>6</v>
      </c>
      <c r="C2154" s="2" t="s">
        <v>3933</v>
      </c>
      <c r="D2154" s="32"/>
      <c r="E2154" s="35" t="s">
        <v>4059</v>
      </c>
    </row>
    <row r="2155" spans="1:5" x14ac:dyDescent="0.2">
      <c r="A2155" s="34" t="str">
        <f>HYPERLINK("http://www.daganm.co.il/sku/BOX24-12","BOX24-12/AL")</f>
        <v>BOX24-12/AL</v>
      </c>
      <c r="B2155" t="s">
        <v>6</v>
      </c>
      <c r="C2155" s="2" t="s">
        <v>3934</v>
      </c>
      <c r="D2155" s="32"/>
      <c r="E2155" s="35" t="s">
        <v>4060</v>
      </c>
    </row>
    <row r="2156" spans="1:5" x14ac:dyDescent="0.2">
      <c r="A2156" s="34" t="str">
        <f>HYPERLINK("http://www.daganm.co.il/sku/BOX24-12","BOX24-12/BL")</f>
        <v>BOX24-12/BL</v>
      </c>
      <c r="B2156" t="s">
        <v>6</v>
      </c>
      <c r="C2156" s="2" t="s">
        <v>3935</v>
      </c>
      <c r="D2156" s="32"/>
      <c r="E2156" s="35" t="s">
        <v>4061</v>
      </c>
    </row>
    <row r="2157" spans="1:5" x14ac:dyDescent="0.2">
      <c r="A2157" s="34" t="str">
        <f>HYPERLINK("http://www.daganm.co.il/sku/BOX39-8","BOX39-8/BL")</f>
        <v>BOX39-8/BL</v>
      </c>
      <c r="B2157" t="s">
        <v>6</v>
      </c>
      <c r="C2157" s="2" t="s">
        <v>3936</v>
      </c>
      <c r="D2157" s="32"/>
      <c r="E2157" s="35" t="s">
        <v>4062</v>
      </c>
    </row>
    <row r="2158" spans="1:5" x14ac:dyDescent="0.2">
      <c r="A2158" s="34" t="str">
        <f>HYPERLINK("http://www.daganm.co.il/sku/BOX39-8","BOX39-8/WH")</f>
        <v>BOX39-8/WH</v>
      </c>
      <c r="B2158" t="s">
        <v>6</v>
      </c>
      <c r="C2158" s="2" t="s">
        <v>3937</v>
      </c>
      <c r="D2158" s="32"/>
      <c r="E2158" s="35" t="s">
        <v>4063</v>
      </c>
    </row>
    <row r="2159" spans="1:5" x14ac:dyDescent="0.2">
      <c r="A2159" s="34" t="str">
        <f>HYPERLINK("http://www.daganm.co.il/sku/BOX43/BL","BOX43/BL")</f>
        <v>BOX43/BL</v>
      </c>
      <c r="B2159" t="s">
        <v>6</v>
      </c>
      <c r="C2159" s="2" t="s">
        <v>3938</v>
      </c>
      <c r="D2159" s="32"/>
      <c r="E2159" s="35" t="s">
        <v>4064</v>
      </c>
    </row>
    <row r="2160" spans="1:5" x14ac:dyDescent="0.2">
      <c r="A2160" s="34" t="str">
        <f>HYPERLINK("http://www.daganm.co.il/sku/BOX-ADA1","BOX-ADA1/BL")</f>
        <v>BOX-ADA1/BL</v>
      </c>
      <c r="B2160" t="s">
        <v>6</v>
      </c>
      <c r="C2160" s="2" t="s">
        <v>3939</v>
      </c>
      <c r="D2160" s="32"/>
      <c r="E2160" s="32" t="s">
        <v>4065</v>
      </c>
    </row>
    <row r="2161" spans="1:5" x14ac:dyDescent="0.2">
      <c r="A2161" s="34" t="str">
        <f>HYPERLINK("http://www.daganm.co.il/sku/BOX-ADA1","BOX-ADA1/WH")</f>
        <v>BOX-ADA1/WH</v>
      </c>
      <c r="B2161" t="s">
        <v>6</v>
      </c>
      <c r="C2161" s="2" t="s">
        <v>3940</v>
      </c>
      <c r="D2161" s="36"/>
      <c r="E2161" s="35" t="s">
        <v>4066</v>
      </c>
    </row>
    <row r="2162" spans="1:5" x14ac:dyDescent="0.2">
      <c r="A2162" s="34" t="str">
        <f>HYPERLINK("http://www.daganm.co.il/sku/BOX-CHAR10-BL","BOX-CHAR10-BL")</f>
        <v>BOX-CHAR10-BL</v>
      </c>
      <c r="B2162" t="s">
        <v>6</v>
      </c>
      <c r="C2162" s="2" t="s">
        <v>4191</v>
      </c>
      <c r="D2162" s="32"/>
      <c r="E2162" s="35" t="s">
        <v>4309</v>
      </c>
    </row>
    <row r="2163" spans="1:5" x14ac:dyDescent="0.2">
      <c r="A2163" s="34" t="str">
        <f>HYPERLINK("http://www.daganm.co.il/sku/BOX-CHAR10-WH","BOX-CHAR10-WH")</f>
        <v>BOX-CHAR10-WH</v>
      </c>
      <c r="B2163" t="s">
        <v>6</v>
      </c>
      <c r="C2163" s="2" t="s">
        <v>4192</v>
      </c>
      <c r="D2163" s="32"/>
      <c r="E2163" s="35" t="s">
        <v>4310</v>
      </c>
    </row>
    <row r="2164" spans="1:5" x14ac:dyDescent="0.2">
      <c r="A2164" s="34" t="str">
        <f>HYPERLINK("http://www.daganm.co.il/sku/BOX-CHAR23-BL","BOX-CHAR23-BL")</f>
        <v>BOX-CHAR23-BL</v>
      </c>
      <c r="B2164" t="s">
        <v>6</v>
      </c>
      <c r="C2164" s="2" t="s">
        <v>4193</v>
      </c>
      <c r="D2164" s="32"/>
      <c r="E2164" s="35" t="s">
        <v>4311</v>
      </c>
    </row>
    <row r="2165" spans="1:5" x14ac:dyDescent="0.2">
      <c r="A2165" s="34" t="str">
        <f>HYPERLINK("http://www.daganm.co.il/sku/BOX-CHAR23-WH","BOX-CHAR23-WH")</f>
        <v>BOX-CHAR23-WH</v>
      </c>
      <c r="B2165" t="s">
        <v>6</v>
      </c>
      <c r="C2165" s="2" t="s">
        <v>4194</v>
      </c>
      <c r="D2165" s="32"/>
      <c r="E2165" s="35" t="s">
        <v>4312</v>
      </c>
    </row>
    <row r="2166" spans="1:5" ht="16.5" x14ac:dyDescent="0.25">
      <c r="B2166"/>
      <c r="C2166" s="31" t="s">
        <v>95</v>
      </c>
      <c r="D2166" s="32"/>
      <c r="E2166" s="35"/>
    </row>
    <row r="2167" spans="1:5" x14ac:dyDescent="0.2">
      <c r="B2167"/>
      <c r="C2167" s="33" t="s">
        <v>96</v>
      </c>
      <c r="D2167" s="32"/>
      <c r="E2167" s="35"/>
    </row>
    <row r="2168" spans="1:5" x14ac:dyDescent="0.2">
      <c r="A2168" s="34" t="str">
        <f>HYPERLINK("http://www.daganm.co.il/sku/CMP-MODCRIMPL1","CMP-MODCRIMPL1")</f>
        <v>CMP-MODCRIMPL1</v>
      </c>
      <c r="B2168" t="s">
        <v>6</v>
      </c>
      <c r="C2168" s="2" t="s">
        <v>3941</v>
      </c>
      <c r="D2168" s="32"/>
      <c r="E2168" s="35" t="s">
        <v>3196</v>
      </c>
    </row>
    <row r="2169" spans="1:5" x14ac:dyDescent="0.2">
      <c r="A2169" s="34" t="str">
        <f>HYPERLINK("http://www.daganm.co.il/sku/CMP-MODCRIMPL2","CMP-MODCRIMPL2")</f>
        <v>CMP-MODCRIMPL2</v>
      </c>
      <c r="B2169" t="s">
        <v>6</v>
      </c>
      <c r="C2169" s="2" t="s">
        <v>3942</v>
      </c>
      <c r="D2169" s="32"/>
      <c r="E2169" s="35" t="s">
        <v>3197</v>
      </c>
    </row>
    <row r="2170" spans="1:5" x14ac:dyDescent="0.2">
      <c r="A2170" s="34" t="str">
        <f>HYPERLINK("http://www.daganm.co.il/sku/CMP-MODCRIMPL3","CMP-MODCRIMPL3")</f>
        <v>CMP-MODCRIMPL3</v>
      </c>
      <c r="B2170" t="s">
        <v>6</v>
      </c>
      <c r="C2170" s="2" t="s">
        <v>1580</v>
      </c>
      <c r="D2170" s="32"/>
      <c r="E2170" s="35" t="s">
        <v>3198</v>
      </c>
    </row>
    <row r="2171" spans="1:5" x14ac:dyDescent="0.2">
      <c r="A2171" s="34" t="str">
        <f>HYPERLINK("http://www.daganm.co.il/sku/CMP-MODCRIMPL3-BL","CMP-MODCRIMPL3-BL")</f>
        <v>CMP-MODCRIMPL3-BL</v>
      </c>
      <c r="B2171" t="s">
        <v>6</v>
      </c>
      <c r="C2171" s="2" t="s">
        <v>1581</v>
      </c>
      <c r="D2171" s="32"/>
      <c r="E2171" s="35" t="s">
        <v>3199</v>
      </c>
    </row>
    <row r="2172" spans="1:5" x14ac:dyDescent="0.2">
      <c r="A2172" s="34" t="str">
        <f>HYPERLINK("http://www.daganm.co.il/sku/CMP-MODCRIMPL4","CMP-MODCRIMPL4")</f>
        <v>CMP-MODCRIMPL4</v>
      </c>
      <c r="B2172" t="s">
        <v>6</v>
      </c>
      <c r="C2172" s="2" t="s">
        <v>1582</v>
      </c>
      <c r="D2172" s="32"/>
      <c r="E2172" s="35" t="s">
        <v>3200</v>
      </c>
    </row>
    <row r="2173" spans="1:5" x14ac:dyDescent="0.2">
      <c r="A2173" s="34" t="str">
        <f>HYPERLINK("http://www.daganm.co.il/sku/TL-TC03","TL-TC03")</f>
        <v>TL-TC03</v>
      </c>
      <c r="B2173" t="s">
        <v>6</v>
      </c>
      <c r="C2173" s="2" t="s">
        <v>1583</v>
      </c>
      <c r="D2173" s="32"/>
      <c r="E2173" s="32" t="s">
        <v>3201</v>
      </c>
    </row>
    <row r="2174" spans="1:5" x14ac:dyDescent="0.2">
      <c r="A2174" s="34" t="str">
        <f>HYPERLINK("http://www.daganm.co.il/sku/ISDN-0019","ISDN-0019")</f>
        <v>ISDN-0019</v>
      </c>
      <c r="B2174" t="s">
        <v>6</v>
      </c>
      <c r="C2174" s="2" t="s">
        <v>1584</v>
      </c>
      <c r="D2174" s="32"/>
      <c r="E2174" s="32" t="s">
        <v>3202</v>
      </c>
    </row>
    <row r="2175" spans="1:5" x14ac:dyDescent="0.2">
      <c r="A2175" s="34" t="str">
        <f>HYPERLINK("http://www.daganm.co.il/sku/NETW-TOOL1","NETW-TOOL1")</f>
        <v>NETW-TOOL1</v>
      </c>
      <c r="B2175" t="s">
        <v>6</v>
      </c>
      <c r="C2175" s="2" t="s">
        <v>1585</v>
      </c>
      <c r="D2175" s="32"/>
      <c r="E2175" s="35" t="s">
        <v>3203</v>
      </c>
    </row>
    <row r="2176" spans="1:5" x14ac:dyDescent="0.2">
      <c r="A2176" s="34" t="str">
        <f>HYPERLINK("http://www.daganm.co.il/sku/CRIMP-PLIER","CRIMP-PLIER")</f>
        <v>CRIMP-PLIER</v>
      </c>
      <c r="B2176" t="s">
        <v>6</v>
      </c>
      <c r="C2176" s="2" t="s">
        <v>3369</v>
      </c>
      <c r="D2176" s="32" t="s">
        <v>2</v>
      </c>
      <c r="E2176" s="35" t="s">
        <v>3204</v>
      </c>
    </row>
    <row r="2177" spans="1:5" x14ac:dyDescent="0.2">
      <c r="A2177" s="34" t="str">
        <f>HYPERLINK("http://www.daganm.co.il/sku/CRIMP-PLIER30","CRIMP-PLIER30")</f>
        <v>CRIMP-PLIER30</v>
      </c>
      <c r="B2177" t="s">
        <v>6</v>
      </c>
      <c r="C2177" s="2" t="s">
        <v>1586</v>
      </c>
      <c r="D2177" s="32" t="s">
        <v>2</v>
      </c>
      <c r="E2177" s="35" t="s">
        <v>3205</v>
      </c>
    </row>
    <row r="2178" spans="1:5" x14ac:dyDescent="0.2">
      <c r="A2178" s="34" t="str">
        <f>HYPERLINK("http://www.daganm.co.il/sku/CC-STRIPPER","CC-STRIPPER")</f>
        <v>CC-STRIPPER</v>
      </c>
      <c r="B2178" t="s">
        <v>6</v>
      </c>
      <c r="C2178" s="2" t="s">
        <v>1587</v>
      </c>
      <c r="D2178" s="32"/>
      <c r="E2178" s="35" t="s">
        <v>3206</v>
      </c>
    </row>
    <row r="2179" spans="1:5" x14ac:dyDescent="0.2">
      <c r="A2179" s="34" t="str">
        <f>HYPERLINK("http://www.daganm.co.il/sku/SPR-AIR1","SPR-AIR1")</f>
        <v>SPR-AIR1</v>
      </c>
      <c r="B2179" t="s">
        <v>6</v>
      </c>
      <c r="C2179" s="2" t="s">
        <v>1588</v>
      </c>
      <c r="D2179" s="32" t="s">
        <v>2</v>
      </c>
      <c r="E2179" s="35" t="s">
        <v>3628</v>
      </c>
    </row>
    <row r="2180" spans="1:5" x14ac:dyDescent="0.2">
      <c r="A2180" s="34" t="str">
        <f>HYPERLINK("http://www.daganm.co.il/sku/SPR-CONTACT1","SPR-CONTACT1")</f>
        <v>SPR-CONTACT1</v>
      </c>
      <c r="B2180" t="s">
        <v>6</v>
      </c>
      <c r="C2180" s="2" t="s">
        <v>3603</v>
      </c>
      <c r="D2180" s="32" t="s">
        <v>2</v>
      </c>
      <c r="E2180" s="35" t="s">
        <v>3688</v>
      </c>
    </row>
    <row r="2181" spans="1:5" x14ac:dyDescent="0.2">
      <c r="A2181" s="34" t="str">
        <f>HYPERLINK("http://www.daganm.co.il/sku/SPR-CLEANER1","SPR-CLEANER1")</f>
        <v>SPR-CLEANER1</v>
      </c>
      <c r="B2181" t="s">
        <v>6</v>
      </c>
      <c r="C2181" s="2" t="s">
        <v>4195</v>
      </c>
      <c r="D2181" s="32" t="s">
        <v>2</v>
      </c>
      <c r="E2181" s="35" t="s">
        <v>3207</v>
      </c>
    </row>
    <row r="2182" spans="1:5" x14ac:dyDescent="0.2">
      <c r="A2182" s="34" t="str">
        <f>HYPERLINK("http://www.daganm.co.il/sku/WPS%201GRAM","WPS 1GRAM")</f>
        <v>WPS 1GRAM</v>
      </c>
      <c r="B2182" t="s">
        <v>6</v>
      </c>
      <c r="C2182" s="2" t="s">
        <v>1589</v>
      </c>
      <c r="D2182" s="32"/>
      <c r="E2182" s="32" t="s">
        <v>3208</v>
      </c>
    </row>
    <row r="2183" spans="1:5" x14ac:dyDescent="0.2">
      <c r="A2183" s="34" t="str">
        <f>HYPERLINK("http://www.daganm.co.il/sku/WPS%2025GRAM","WPS 25GRAM")</f>
        <v>WPS 25GRAM</v>
      </c>
      <c r="B2183" t="s">
        <v>6</v>
      </c>
      <c r="C2183" s="2" t="s">
        <v>1590</v>
      </c>
      <c r="D2183" s="32"/>
      <c r="E2183" s="35" t="s">
        <v>3209</v>
      </c>
    </row>
    <row r="2184" spans="1:5" x14ac:dyDescent="0.2">
      <c r="B2184"/>
      <c r="C2184" s="33" t="s">
        <v>97</v>
      </c>
      <c r="D2184" s="32"/>
      <c r="E2184" s="35"/>
    </row>
    <row r="2185" spans="1:5" x14ac:dyDescent="0.2">
      <c r="A2185" s="34" t="str">
        <f>HYPERLINK("http://www.daganm.co.il/sku/OPT-TOOL1","OPT-TOOL1")</f>
        <v>OPT-TOOL1</v>
      </c>
      <c r="B2185" t="s">
        <v>6</v>
      </c>
      <c r="C2185" s="2" t="s">
        <v>3943</v>
      </c>
      <c r="D2185" s="32"/>
      <c r="E2185" s="35" t="s">
        <v>4067</v>
      </c>
    </row>
    <row r="2186" spans="1:5" x14ac:dyDescent="0.2">
      <c r="A2186" s="37" t="str">
        <f>HYPERLINK("http://www.daganm.co.il/sku/OPT-TOOL2","OPT-TOOL2")</f>
        <v>OPT-TOOL2</v>
      </c>
      <c r="B2186" t="s">
        <v>6</v>
      </c>
      <c r="C2186" s="2" t="s">
        <v>3943</v>
      </c>
      <c r="D2186" s="32"/>
      <c r="E2186" s="35" t="s">
        <v>4313</v>
      </c>
    </row>
    <row r="2187" spans="1:5" x14ac:dyDescent="0.2">
      <c r="A2187" s="34" t="str">
        <f>HYPERLINK("http://www.daganm.co.il/sku/RCT468B","RCT468B")</f>
        <v>RCT468B</v>
      </c>
      <c r="B2187" t="s">
        <v>6</v>
      </c>
      <c r="C2187" s="2" t="s">
        <v>1591</v>
      </c>
      <c r="D2187" s="32"/>
      <c r="E2187" s="35" t="s">
        <v>3210</v>
      </c>
    </row>
    <row r="2188" spans="1:5" x14ac:dyDescent="0.2">
      <c r="A2188" s="34" t="str">
        <f>HYPERLINK("http://www.daganm.co.il/sku/RCT3468","RCT3468")</f>
        <v>RCT3468</v>
      </c>
      <c r="B2188" t="s">
        <v>6</v>
      </c>
      <c r="C2188" s="2" t="s">
        <v>1592</v>
      </c>
      <c r="D2188" s="32"/>
      <c r="E2188" s="32" t="s">
        <v>3211</v>
      </c>
    </row>
    <row r="2189" spans="1:5" x14ac:dyDescent="0.2">
      <c r="A2189" s="34" t="str">
        <f>HYPERLINK("http://www.daganm.co.il/sku/RCT468S","RCT468S")</f>
        <v>RCT468S</v>
      </c>
      <c r="B2189" t="s">
        <v>6</v>
      </c>
      <c r="C2189" s="2" t="s">
        <v>1593</v>
      </c>
      <c r="D2189" s="32"/>
      <c r="E2189" s="35" t="s">
        <v>3501</v>
      </c>
    </row>
    <row r="2190" spans="1:5" x14ac:dyDescent="0.2">
      <c r="A2190" s="34" t="str">
        <f>HYPERLINK("http://www.daganm.co.il/sku/RCT811","RCT811")</f>
        <v>RCT811</v>
      </c>
      <c r="B2190" t="s">
        <v>6</v>
      </c>
      <c r="C2190" s="2" t="s">
        <v>1594</v>
      </c>
      <c r="D2190" s="32"/>
      <c r="E2190" s="35" t="s">
        <v>3689</v>
      </c>
    </row>
    <row r="2191" spans="1:5" x14ac:dyDescent="0.2">
      <c r="A2191" s="34" t="str">
        <f>HYPERLINK("http://www.daganm.co.il/sku/RCT1206","RCT1206")</f>
        <v>RCT1206</v>
      </c>
      <c r="B2191" t="s">
        <v>6</v>
      </c>
      <c r="C2191" s="2" t="s">
        <v>3944</v>
      </c>
      <c r="D2191" s="32"/>
      <c r="E2191" s="35" t="s">
        <v>3690</v>
      </c>
    </row>
    <row r="2192" spans="1:5" x14ac:dyDescent="0.2">
      <c r="A2192" s="34" t="str">
        <f>HYPERLINK("http://www.daganm.co.il/sku/RCT308S","RCT308S")</f>
        <v>RCT308S</v>
      </c>
      <c r="B2192" t="s">
        <v>6</v>
      </c>
      <c r="C2192" s="2" t="s">
        <v>1595</v>
      </c>
      <c r="D2192" s="32"/>
      <c r="E2192" s="35" t="s">
        <v>4068</v>
      </c>
    </row>
    <row r="2193" spans="1:5" x14ac:dyDescent="0.2">
      <c r="A2193" s="34" t="str">
        <f>HYPERLINK("http://www.daganm.co.il/sku/RCT388","RCT388")</f>
        <v>RCT388</v>
      </c>
      <c r="B2193" t="s">
        <v>6</v>
      </c>
      <c r="C2193" s="2" t="s">
        <v>1596</v>
      </c>
      <c r="D2193" s="32">
        <v>45442</v>
      </c>
      <c r="E2193" s="35" t="s">
        <v>3212</v>
      </c>
    </row>
    <row r="2194" spans="1:5" x14ac:dyDescent="0.2">
      <c r="A2194" s="34" t="str">
        <f>HYPERLINK("http://www.daganm.co.il/sku/TCT-2670","TCT-2670")</f>
        <v>TCT-2670</v>
      </c>
      <c r="B2194" t="s">
        <v>6</v>
      </c>
      <c r="C2194" s="2" t="s">
        <v>1597</v>
      </c>
      <c r="D2194" s="32"/>
      <c r="E2194" s="35" t="s">
        <v>3628</v>
      </c>
    </row>
    <row r="2195" spans="1:5" x14ac:dyDescent="0.2">
      <c r="A2195" s="34" t="str">
        <f>HYPERLINK("http://www.daganm.co.il/sku/TCT-2680","TCT-2680")</f>
        <v>TCT-2680</v>
      </c>
      <c r="B2195" t="s">
        <v>6</v>
      </c>
      <c r="C2195" s="2" t="s">
        <v>3945</v>
      </c>
      <c r="D2195" s="32"/>
      <c r="E2195" s="35" t="s">
        <v>3628</v>
      </c>
    </row>
    <row r="2196" spans="1:5" x14ac:dyDescent="0.2">
      <c r="A2196" s="34" t="str">
        <f>HYPERLINK("http://www.daganm.co.il/sku/DIY-TESTER2","DIY-TESTER2")</f>
        <v>DIY-TESTER2</v>
      </c>
      <c r="B2196" t="s">
        <v>6</v>
      </c>
      <c r="C2196" s="2" t="s">
        <v>3946</v>
      </c>
      <c r="D2196" s="32"/>
      <c r="E2196" s="35" t="s">
        <v>4069</v>
      </c>
    </row>
    <row r="2197" spans="1:5" ht="16.5" x14ac:dyDescent="0.25">
      <c r="B2197"/>
      <c r="C2197" s="31" t="s">
        <v>98</v>
      </c>
      <c r="D2197" s="32"/>
      <c r="E2197" s="35"/>
    </row>
    <row r="2198" spans="1:5" x14ac:dyDescent="0.2">
      <c r="B2198"/>
      <c r="C2198" s="33" t="s">
        <v>4196</v>
      </c>
      <c r="D2198" s="32"/>
      <c r="E2198" s="35"/>
    </row>
    <row r="2199" spans="1:5" x14ac:dyDescent="0.2">
      <c r="A2199" s="37" t="str">
        <f>HYPERLINK("http://www.daganm.co.il/sku/CMP-SAFE55-1.8","CMP-SAFE55-1.8")</f>
        <v>CMP-SAFE55-1.8</v>
      </c>
      <c r="B2199" t="s">
        <v>6</v>
      </c>
      <c r="C2199" s="2" t="s">
        <v>4197</v>
      </c>
      <c r="D2199" s="32"/>
      <c r="E2199" s="35" t="s">
        <v>4314</v>
      </c>
    </row>
    <row r="2200" spans="1:5" x14ac:dyDescent="0.2">
      <c r="A2200" s="37" t="str">
        <f>HYPERLINK("http://www.daganm.co.il/sku/CMP-SAFE63-1.8","CMP-SAFE63-1.8")</f>
        <v>CMP-SAFE63-1.8</v>
      </c>
      <c r="B2200" t="s">
        <v>6</v>
      </c>
      <c r="C2200" s="2" t="s">
        <v>4198</v>
      </c>
      <c r="D2200" s="32"/>
      <c r="E2200" s="35" t="s">
        <v>4315</v>
      </c>
    </row>
    <row r="2201" spans="1:5" x14ac:dyDescent="0.2">
      <c r="A2201" s="34" t="str">
        <f>HYPERLINK("http://www.daganm.co.il/sku/CMP-SAFE7-1.8","CMP-SAFE7-1.8")</f>
        <v>CMP-SAFE7-1.8</v>
      </c>
      <c r="B2201" t="s">
        <v>6</v>
      </c>
      <c r="C2201" s="2" t="s">
        <v>1598</v>
      </c>
      <c r="D2201" s="32"/>
      <c r="E2201" s="35" t="s">
        <v>3213</v>
      </c>
    </row>
    <row r="2202" spans="1:5" x14ac:dyDescent="0.2">
      <c r="A2202" s="34" t="str">
        <f>HYPERLINK("http://www.daganm.co.il/sku/CMP-SAFE7ID-1.8","CMP-SAFE7ID-1.8")</f>
        <v>CMP-SAFE7ID-1.8</v>
      </c>
      <c r="B2202" t="s">
        <v>6</v>
      </c>
      <c r="C2202" s="2" t="s">
        <v>4199</v>
      </c>
      <c r="D2202" s="32"/>
      <c r="E2202" s="35" t="s">
        <v>3214</v>
      </c>
    </row>
    <row r="2203" spans="1:5" x14ac:dyDescent="0.2">
      <c r="A2203" s="34" t="str">
        <f>HYPERLINK("http://www.daganm.co.il/sku/CMP-SAFE8-1.8","CMP-SAFE8-1.8")</f>
        <v>CMP-SAFE8-1.8</v>
      </c>
      <c r="B2203" t="s">
        <v>6</v>
      </c>
      <c r="C2203" s="2" t="s">
        <v>4200</v>
      </c>
      <c r="D2203" s="32"/>
      <c r="E2203" s="35" t="s">
        <v>3215</v>
      </c>
    </row>
    <row r="2204" spans="1:5" x14ac:dyDescent="0.2">
      <c r="A2204" s="34" t="str">
        <f>HYPERLINK("http://www.daganm.co.il/sku/CMP-SAFE3","CMP-SAFE3")</f>
        <v>CMP-SAFE3</v>
      </c>
      <c r="B2204" t="s">
        <v>6</v>
      </c>
      <c r="C2204" s="2" t="s">
        <v>4201</v>
      </c>
      <c r="D2204" s="32"/>
      <c r="E2204" s="35" t="s">
        <v>3216</v>
      </c>
    </row>
    <row r="2205" spans="1:5" x14ac:dyDescent="0.2">
      <c r="A2205" s="34" t="str">
        <f>HYPERLINK("http://www.daganm.co.il/sku/CMP-SAFE3-1.1","CMP-SAFE3-1.1")</f>
        <v>CMP-SAFE3-1.1</v>
      </c>
      <c r="B2205" t="s">
        <v>6</v>
      </c>
      <c r="C2205" s="2" t="s">
        <v>4202</v>
      </c>
      <c r="D2205" s="32"/>
      <c r="E2205" s="35" t="s">
        <v>3217</v>
      </c>
    </row>
    <row r="2206" spans="1:5" x14ac:dyDescent="0.2">
      <c r="A2206" s="34" t="str">
        <f>HYPERLINK("http://www.daganm.co.il/sku/CMP-SAFE4","CMP-SAFE4")</f>
        <v>CMP-SAFE4</v>
      </c>
      <c r="B2206" t="s">
        <v>6</v>
      </c>
      <c r="C2206" s="2" t="s">
        <v>4203</v>
      </c>
      <c r="D2206" s="32"/>
      <c r="E2206" s="35" t="s">
        <v>3218</v>
      </c>
    </row>
    <row r="2207" spans="1:5" x14ac:dyDescent="0.2">
      <c r="A2207" s="34" t="str">
        <f>HYPERLINK("http://www.daganm.co.il/sku/CMP-SAFE4-1.2","CMP-SAFE4-1.2")</f>
        <v>CMP-SAFE4-1.2</v>
      </c>
      <c r="B2207" t="s">
        <v>6</v>
      </c>
      <c r="C2207" s="2" t="s">
        <v>4204</v>
      </c>
      <c r="D2207" s="32"/>
      <c r="E2207" s="35" t="s">
        <v>3219</v>
      </c>
    </row>
    <row r="2208" spans="1:5" x14ac:dyDescent="0.2">
      <c r="A2208" s="37" t="str">
        <f>HYPERLINK("http://www.daganm.co.il/sku/PBL-RJ451","PBL-RJ451")</f>
        <v>PBL-RJ451</v>
      </c>
      <c r="B2208" t="s">
        <v>4205</v>
      </c>
      <c r="C2208" s="2" t="s">
        <v>4206</v>
      </c>
      <c r="D2208" s="32">
        <v>45442</v>
      </c>
      <c r="E2208" s="35" t="s">
        <v>4316</v>
      </c>
    </row>
    <row r="2209" spans="1:5" x14ac:dyDescent="0.2">
      <c r="A2209" s="37" t="str">
        <f>HYPERLINK("http://www.daganm.co.il/sku/PBL-USB1","PBL-USB1")</f>
        <v>PBL-USB1</v>
      </c>
      <c r="B2209" t="s">
        <v>4205</v>
      </c>
      <c r="C2209" s="2" t="s">
        <v>4207</v>
      </c>
      <c r="D2209" s="32">
        <v>45442</v>
      </c>
      <c r="E2209" s="35" t="s">
        <v>4317</v>
      </c>
    </row>
    <row r="2210" spans="1:5" x14ac:dyDescent="0.2">
      <c r="B2210"/>
      <c r="C2210" s="33" t="s">
        <v>99</v>
      </c>
      <c r="D2210" s="32"/>
      <c r="E2210" s="32"/>
    </row>
    <row r="2211" spans="1:5" x14ac:dyDescent="0.2">
      <c r="A2211" s="34" t="str">
        <f>HYPERLINK("http://www.daganm.co.il/sku/CMP-FAN21","CMP-FAN21")</f>
        <v>CMP-FAN21</v>
      </c>
      <c r="B2211" t="s">
        <v>6</v>
      </c>
      <c r="C2211" s="2" t="s">
        <v>1599</v>
      </c>
      <c r="D2211" s="32"/>
      <c r="E2211" s="35" t="s">
        <v>3220</v>
      </c>
    </row>
    <row r="2212" spans="1:5" x14ac:dyDescent="0.2">
      <c r="A2212" s="34" t="str">
        <f>HYPERLINK("http://www.daganm.co.il/sku/CMP-FAN22","CMP-FAN22")</f>
        <v>CMP-FAN22</v>
      </c>
      <c r="B2212" t="s">
        <v>6</v>
      </c>
      <c r="C2212" s="2" t="s">
        <v>1600</v>
      </c>
      <c r="D2212" s="32"/>
      <c r="E2212" s="35" t="s">
        <v>3221</v>
      </c>
    </row>
    <row r="2213" spans="1:5" x14ac:dyDescent="0.2">
      <c r="A2213" s="34" t="str">
        <f>HYPERLINK("http://www.daganm.co.il/sku/CMP-FAN23","CMP-FAN23")</f>
        <v>CMP-FAN23</v>
      </c>
      <c r="B2213" t="s">
        <v>6</v>
      </c>
      <c r="C2213" s="2" t="s">
        <v>1601</v>
      </c>
      <c r="D2213" s="32"/>
      <c r="E2213" s="35" t="s">
        <v>3222</v>
      </c>
    </row>
    <row r="2214" spans="1:5" x14ac:dyDescent="0.2">
      <c r="A2214" s="34" t="str">
        <f>HYPERLINK("http://www.daganm.co.il/sku/CMP-FAN24","CMP-FAN24")</f>
        <v>CMP-FAN24</v>
      </c>
      <c r="B2214" t="s">
        <v>6</v>
      </c>
      <c r="C2214" s="2" t="s">
        <v>1602</v>
      </c>
      <c r="D2214" s="32"/>
      <c r="E2214" s="35" t="s">
        <v>3223</v>
      </c>
    </row>
    <row r="2215" spans="1:5" x14ac:dyDescent="0.2">
      <c r="A2215" s="34" t="str">
        <f>HYPERLINK("http://www.daganm.co.il/sku/CMP-FAN25","CMP-FAN25")</f>
        <v>CMP-FAN25</v>
      </c>
      <c r="B2215" t="s">
        <v>6</v>
      </c>
      <c r="C2215" s="2" t="s">
        <v>1603</v>
      </c>
      <c r="D2215" s="32"/>
      <c r="E2215" s="35" t="s">
        <v>3224</v>
      </c>
    </row>
    <row r="2216" spans="1:5" x14ac:dyDescent="0.2">
      <c r="B2216"/>
      <c r="C2216" s="33" t="s">
        <v>3947</v>
      </c>
      <c r="D2216" s="32"/>
      <c r="E2216" s="35"/>
    </row>
    <row r="2217" spans="1:5" x14ac:dyDescent="0.2">
      <c r="A2217" s="34" t="str">
        <f>HYPERLINK("http://www.daganm.co.il/sku/PSUP10-45W","PSUP10-45W")</f>
        <v>PSUP10-45W</v>
      </c>
      <c r="B2217" t="s">
        <v>6</v>
      </c>
      <c r="C2217" s="2" t="s">
        <v>4208</v>
      </c>
      <c r="D2217" s="32" t="s">
        <v>2</v>
      </c>
      <c r="E2217" s="35" t="s">
        <v>3691</v>
      </c>
    </row>
    <row r="2218" spans="1:5" x14ac:dyDescent="0.2">
      <c r="A2218" s="34" t="str">
        <f>HYPERLINK("http://www.daganm.co.il/sku/PSUP10-65W","PSUP10-65W")</f>
        <v>PSUP10-65W</v>
      </c>
      <c r="B2218" t="s">
        <v>6</v>
      </c>
      <c r="C2218" s="2" t="s">
        <v>4209</v>
      </c>
      <c r="D2218" s="32" t="s">
        <v>2</v>
      </c>
      <c r="E2218" s="35" t="s">
        <v>3692</v>
      </c>
    </row>
    <row r="2219" spans="1:5" x14ac:dyDescent="0.2">
      <c r="A2219" s="34" t="str">
        <f>HYPERLINK("http://www.daganm.co.il/sku/PSUP10-90W","PSUP10-90W")</f>
        <v>PSUP10-90W</v>
      </c>
      <c r="B2219" t="s">
        <v>6</v>
      </c>
      <c r="C2219" s="2" t="s">
        <v>4210</v>
      </c>
      <c r="D2219" s="32" t="s">
        <v>2</v>
      </c>
      <c r="E2219" s="35" t="s">
        <v>3693</v>
      </c>
    </row>
    <row r="2220" spans="1:5" x14ac:dyDescent="0.2">
      <c r="A2220" s="34" t="str">
        <f>HYPERLINK("http://www.daganm.co.il/sku/MX-USB220V","MX-USB220V")</f>
        <v>MX-USB220V</v>
      </c>
      <c r="B2220" t="s">
        <v>6</v>
      </c>
      <c r="C2220" s="2" t="s">
        <v>3604</v>
      </c>
      <c r="D2220" s="32" t="s">
        <v>2</v>
      </c>
      <c r="E2220" s="35" t="s">
        <v>3231</v>
      </c>
    </row>
    <row r="2221" spans="1:5" x14ac:dyDescent="0.2">
      <c r="A2221" s="34" t="str">
        <f>HYPERLINK("http://www.daganm.co.il/sku/MX-USB220V2A","MX-USB220V2A")</f>
        <v>MX-USB220V2A</v>
      </c>
      <c r="B2221" t="s">
        <v>6</v>
      </c>
      <c r="C2221" s="2" t="s">
        <v>4211</v>
      </c>
      <c r="D2221" s="32" t="s">
        <v>2</v>
      </c>
      <c r="E2221" s="35" t="s">
        <v>3232</v>
      </c>
    </row>
    <row r="2222" spans="1:5" x14ac:dyDescent="0.2">
      <c r="A2222" s="37" t="str">
        <f>HYPERLINK("http://www.daganm.co.il/sku/MX-USB220V2A-WH","MX-USB220V2A-WH")</f>
        <v>MX-USB220V2A-WH</v>
      </c>
      <c r="B2222" t="s">
        <v>6</v>
      </c>
      <c r="C2222" s="2" t="s">
        <v>4212</v>
      </c>
      <c r="D2222" s="36" t="s">
        <v>2</v>
      </c>
      <c r="E2222" s="35" t="s">
        <v>4318</v>
      </c>
    </row>
    <row r="2223" spans="1:5" x14ac:dyDescent="0.2">
      <c r="A2223" s="34" t="str">
        <f>HYPERLINK("http://www.daganm.co.il/sku/USB220V-20W","USB220V-20W")</f>
        <v>USB220V-20W</v>
      </c>
      <c r="B2223" t="s">
        <v>6</v>
      </c>
      <c r="C2223" s="2" t="s">
        <v>3605</v>
      </c>
      <c r="D2223" s="32"/>
      <c r="E2223" s="35" t="s">
        <v>3694</v>
      </c>
    </row>
    <row r="2224" spans="1:5" x14ac:dyDescent="0.2">
      <c r="A2224" s="34" t="str">
        <f>HYPERLINK("http://www.daganm.co.il/sku/PAD-5V1A-5.5","PAD-5V1A-5.5")</f>
        <v>PAD-5V1A-5.5</v>
      </c>
      <c r="B2224" t="s">
        <v>6</v>
      </c>
      <c r="C2224" s="2" t="s">
        <v>3374</v>
      </c>
      <c r="D2224" s="32" t="s">
        <v>2</v>
      </c>
      <c r="E2224" s="35" t="s">
        <v>3505</v>
      </c>
    </row>
    <row r="2225" spans="1:5" x14ac:dyDescent="0.2">
      <c r="A2225" s="34" t="str">
        <f>HYPERLINK("http://www.daganm.co.il/sku/PAD-5V1A-3.5","PAD-5V1A-3.5")</f>
        <v>PAD-5V1A-3.5</v>
      </c>
      <c r="B2225" t="s">
        <v>6</v>
      </c>
      <c r="C2225" s="2" t="s">
        <v>3375</v>
      </c>
      <c r="D2225" s="32" t="s">
        <v>2</v>
      </c>
      <c r="E2225" s="35" t="s">
        <v>3506</v>
      </c>
    </row>
    <row r="2226" spans="1:5" x14ac:dyDescent="0.2">
      <c r="A2226" s="34" t="str">
        <f>HYPERLINK("http://www.daganm.co.il/sku/PAD-5V2A-5.5","PAD-5V2A-5.5")</f>
        <v>PAD-5V2A-5.5</v>
      </c>
      <c r="B2226" t="s">
        <v>6</v>
      </c>
      <c r="C2226" s="2" t="s">
        <v>1604</v>
      </c>
      <c r="D2226" s="32" t="s">
        <v>2</v>
      </c>
      <c r="E2226" s="35" t="s">
        <v>3225</v>
      </c>
    </row>
    <row r="2227" spans="1:5" x14ac:dyDescent="0.2">
      <c r="A2227" s="34" t="str">
        <f>HYPERLINK("http://www.daganm.co.il/sku/PAD-5V2A-3.5","PAD-5V2A-3.5")</f>
        <v>PAD-5V2A-3.5</v>
      </c>
      <c r="B2227" t="s">
        <v>6</v>
      </c>
      <c r="C2227" s="2" t="s">
        <v>1605</v>
      </c>
      <c r="D2227" s="32" t="s">
        <v>2</v>
      </c>
      <c r="E2227" s="35" t="s">
        <v>3226</v>
      </c>
    </row>
    <row r="2228" spans="1:5" x14ac:dyDescent="0.2">
      <c r="A2228" s="34" t="str">
        <f>HYPERLINK("http://www.daganm.co.il/sku/PAD-5V3A-5.5","PAD-5V3A-5.5")</f>
        <v>PAD-5V3A-5.5</v>
      </c>
      <c r="B2228" t="s">
        <v>6</v>
      </c>
      <c r="C2228" s="2" t="s">
        <v>1606</v>
      </c>
      <c r="D2228" s="32" t="s">
        <v>2</v>
      </c>
      <c r="E2228" s="35" t="s">
        <v>3628</v>
      </c>
    </row>
    <row r="2229" spans="1:5" x14ac:dyDescent="0.2">
      <c r="A2229" s="34" t="str">
        <f>HYPERLINK("http://www.daganm.co.il/sku/PAD-9V1A-5.5","PAD-9V1A-5.5")</f>
        <v>PAD-9V1A-5.5</v>
      </c>
      <c r="B2229" t="s">
        <v>6</v>
      </c>
      <c r="C2229" s="2" t="s">
        <v>3606</v>
      </c>
      <c r="D2229" s="32" t="s">
        <v>2</v>
      </c>
      <c r="E2229" s="35" t="s">
        <v>3227</v>
      </c>
    </row>
    <row r="2230" spans="1:5" x14ac:dyDescent="0.2">
      <c r="A2230" s="37" t="str">
        <f>HYPERLINK("http://www.daganm.co.il/sku/PAD-9V2A-5.5","PAD-9V2A-5.5")</f>
        <v>PAD-9V2A-5.5</v>
      </c>
      <c r="B2230" t="s">
        <v>6</v>
      </c>
      <c r="C2230" s="2" t="s">
        <v>4213</v>
      </c>
      <c r="D2230" s="32" t="s">
        <v>2</v>
      </c>
      <c r="E2230" s="32" t="s">
        <v>4319</v>
      </c>
    </row>
    <row r="2231" spans="1:5" x14ac:dyDescent="0.2">
      <c r="A2231" s="34" t="str">
        <f>HYPERLINK("http://www.daganm.co.il/sku/PAD-12V1A-5.5","PAD-12V1A-5.5")</f>
        <v>PAD-12V1A-5.5</v>
      </c>
      <c r="B2231" t="s">
        <v>6</v>
      </c>
      <c r="C2231" s="2" t="s">
        <v>3376</v>
      </c>
      <c r="D2231" s="32" t="s">
        <v>2</v>
      </c>
      <c r="E2231" s="35" t="s">
        <v>3628</v>
      </c>
    </row>
    <row r="2232" spans="1:5" x14ac:dyDescent="0.2">
      <c r="A2232" s="34" t="str">
        <f>HYPERLINK("http://www.daganm.co.il/sku/PAD-12V1.5A-5.5","PAD-12V1.5A-5.5")</f>
        <v>PAD-12V1.5A-5.5</v>
      </c>
      <c r="B2232" t="s">
        <v>6</v>
      </c>
      <c r="C2232" s="2" t="s">
        <v>3607</v>
      </c>
      <c r="D2232" s="32" t="s">
        <v>2</v>
      </c>
      <c r="E2232" s="35" t="s">
        <v>3695</v>
      </c>
    </row>
    <row r="2233" spans="1:5" x14ac:dyDescent="0.2">
      <c r="A2233" s="34" t="str">
        <f>HYPERLINK("http://www.daganm.co.il/sku/PAD-12V2A-5.5","PAD-12V2A-5.5")</f>
        <v>PAD-12V2A-5.5</v>
      </c>
      <c r="B2233" t="s">
        <v>6</v>
      </c>
      <c r="C2233" s="2" t="s">
        <v>1607</v>
      </c>
      <c r="D2233" s="32" t="s">
        <v>2</v>
      </c>
      <c r="E2233" s="35" t="s">
        <v>3228</v>
      </c>
    </row>
    <row r="2234" spans="1:5" x14ac:dyDescent="0.2">
      <c r="A2234" s="34" t="str">
        <f>HYPERLINK("http://www.daganm.co.il/sku/PAD-12V2ANR-5.5","PAD-12V2ANR-5.5")</f>
        <v>PAD-12V2ANR-5.5</v>
      </c>
      <c r="B2234" t="s">
        <v>6</v>
      </c>
      <c r="C2234" s="2" t="s">
        <v>3608</v>
      </c>
      <c r="D2234" s="32" t="s">
        <v>2</v>
      </c>
      <c r="E2234" s="35" t="s">
        <v>3507</v>
      </c>
    </row>
    <row r="2235" spans="1:5" x14ac:dyDescent="0.2">
      <c r="A2235" s="34" t="str">
        <f>HYPERLINK("http://www.daganm.co.il/sku/PAD-12V3A-5.5","PAD-12V3A-5.5")</f>
        <v>PAD-12V3A-5.5</v>
      </c>
      <c r="B2235" t="s">
        <v>6</v>
      </c>
      <c r="C2235" s="2" t="s">
        <v>3609</v>
      </c>
      <c r="D2235" s="32" t="s">
        <v>2</v>
      </c>
      <c r="E2235" s="35" t="s">
        <v>3229</v>
      </c>
    </row>
    <row r="2236" spans="1:5" x14ac:dyDescent="0.2">
      <c r="A2236" s="34" t="str">
        <f>HYPERLINK("http://www.daganm.co.il/sku/PAD-12V5ANR-5.5","PAD-12V5ANR-5.5")</f>
        <v>PAD-12V5ANR-5.5</v>
      </c>
      <c r="B2236" t="s">
        <v>6</v>
      </c>
      <c r="C2236" s="2" t="s">
        <v>3948</v>
      </c>
      <c r="D2236" s="32" t="s">
        <v>2</v>
      </c>
      <c r="E2236" s="35" t="s">
        <v>3696</v>
      </c>
    </row>
    <row r="2237" spans="1:5" x14ac:dyDescent="0.2">
      <c r="A2237" s="34" t="str">
        <f>HYPERLINK("http://www.daganm.co.il/sku/PAD-12V10A-5.5","PAD-12V10A-5.5")</f>
        <v>PAD-12V10A-5.5</v>
      </c>
      <c r="B2237" t="s">
        <v>6</v>
      </c>
      <c r="C2237" s="2" t="s">
        <v>1608</v>
      </c>
      <c r="D2237" s="32" t="s">
        <v>2</v>
      </c>
      <c r="E2237" s="35" t="s">
        <v>3230</v>
      </c>
    </row>
    <row r="2238" spans="1:5" x14ac:dyDescent="0.2">
      <c r="B2238"/>
      <c r="C2238" s="33" t="s">
        <v>3949</v>
      </c>
      <c r="D2238" s="32"/>
      <c r="E2238" s="35"/>
    </row>
    <row r="2239" spans="1:5" x14ac:dyDescent="0.2">
      <c r="A2239" s="34" t="str">
        <f>HYPERLINK("http://www.daganm.co.il/sku/ESWITCH-15","ESWITCH-15")</f>
        <v>ESWITCH-15</v>
      </c>
      <c r="B2239" t="s">
        <v>6</v>
      </c>
      <c r="C2239" s="2" t="s">
        <v>4214</v>
      </c>
      <c r="D2239" s="32" t="s">
        <v>2</v>
      </c>
      <c r="E2239" s="35" t="s">
        <v>3628</v>
      </c>
    </row>
    <row r="2240" spans="1:5" x14ac:dyDescent="0.2">
      <c r="A2240" s="34" t="str">
        <f>HYPERLINK("http://www.daganm.co.il/sku/ESWITCH-18","ESWITCH-18")</f>
        <v>ESWITCH-18</v>
      </c>
      <c r="B2240" t="s">
        <v>6</v>
      </c>
      <c r="C2240" s="2" t="s">
        <v>4215</v>
      </c>
      <c r="D2240" s="32" t="s">
        <v>2</v>
      </c>
      <c r="E2240" s="35" t="s">
        <v>3628</v>
      </c>
    </row>
    <row r="2241" spans="1:5" x14ac:dyDescent="0.2">
      <c r="A2241" s="34" t="str">
        <f>HYPERLINK("http://www.daganm.co.il/sku/ESWITCH-25HV","ESWITCH-25HV")</f>
        <v>ESWITCH-25HV</v>
      </c>
      <c r="B2241" t="s">
        <v>6</v>
      </c>
      <c r="C2241" s="2" t="s">
        <v>4216</v>
      </c>
      <c r="D2241" s="32" t="s">
        <v>2</v>
      </c>
      <c r="E2241" s="35" t="s">
        <v>4070</v>
      </c>
    </row>
    <row r="2242" spans="1:5" x14ac:dyDescent="0.2">
      <c r="A2242" s="34" t="str">
        <f>HYPERLINK("http://www.daganm.co.il/sku/ESWITCH-28HV","ESWITCH-28HV")</f>
        <v>ESWITCH-28HV</v>
      </c>
      <c r="B2242" t="s">
        <v>6</v>
      </c>
      <c r="C2242" s="2" t="s">
        <v>4217</v>
      </c>
      <c r="D2242" s="32" t="s">
        <v>2</v>
      </c>
      <c r="E2242" s="35" t="s">
        <v>4071</v>
      </c>
    </row>
    <row r="2243" spans="1:5" x14ac:dyDescent="0.2">
      <c r="A2243" s="34" t="str">
        <f>HYPERLINK("http://www.daganm.co.il/sku/ESWITCH-216HV","ESWITCH-216HV")</f>
        <v>ESWITCH-216HV</v>
      </c>
      <c r="B2243" t="s">
        <v>6</v>
      </c>
      <c r="C2243" s="2" t="s">
        <v>4218</v>
      </c>
      <c r="D2243" s="32" t="s">
        <v>2</v>
      </c>
      <c r="E2243" s="35" t="s">
        <v>4072</v>
      </c>
    </row>
    <row r="2244" spans="1:5" x14ac:dyDescent="0.2">
      <c r="A2244" s="34" t="str">
        <f>HYPERLINK("http://www.daganm.co.il/sku/ESWITCH-224","ESWITCH-224")</f>
        <v>ESWITCH-224</v>
      </c>
      <c r="B2244" t="s">
        <v>6</v>
      </c>
      <c r="C2244" s="2" t="s">
        <v>4219</v>
      </c>
      <c r="D2244" s="32" t="s">
        <v>2</v>
      </c>
      <c r="E2244" s="35" t="s">
        <v>4320</v>
      </c>
    </row>
    <row r="2245" spans="1:5" x14ac:dyDescent="0.2">
      <c r="A2245" s="34" t="str">
        <f>HYPERLINK("http://www.daganm.co.il/sku/ESWITCH-317","ESWITCH-317")</f>
        <v>ESWITCH-317</v>
      </c>
      <c r="B2245" t="s">
        <v>6</v>
      </c>
      <c r="C2245" s="2" t="s">
        <v>3950</v>
      </c>
      <c r="D2245" s="32"/>
      <c r="E2245" s="35" t="s">
        <v>4073</v>
      </c>
    </row>
    <row r="2246" spans="1:5" x14ac:dyDescent="0.2">
      <c r="A2246" s="34" t="str">
        <f>HYPERLINK("http://www.daganm.co.il/sku/ADV-SW8P2G1F","ADV-SW8P2G1F")</f>
        <v>ADV-SW8P2G1F</v>
      </c>
      <c r="B2246" t="s">
        <v>6</v>
      </c>
      <c r="C2246" s="2" t="s">
        <v>3951</v>
      </c>
      <c r="D2246" s="32"/>
      <c r="E2246" s="35" t="s">
        <v>3628</v>
      </c>
    </row>
    <row r="2247" spans="1:5" x14ac:dyDescent="0.2">
      <c r="A2247" s="34" t="str">
        <f>HYPERLINK("http://www.daganm.co.il/sku/ADV-INJ30G","ADV-INJ30G")</f>
        <v>ADV-INJ30G</v>
      </c>
      <c r="B2247" t="s">
        <v>6</v>
      </c>
      <c r="C2247" s="2" t="s">
        <v>1609</v>
      </c>
      <c r="D2247" s="36" t="s">
        <v>2</v>
      </c>
      <c r="E2247" s="35" t="s">
        <v>3628</v>
      </c>
    </row>
    <row r="2248" spans="1:5" x14ac:dyDescent="0.2">
      <c r="A2248" s="34" t="str">
        <f>HYPERLINK("http://www.daganm.co.il/sku/UPSAIN650-3","UPSAIN650-3")</f>
        <v>UPSAIN650-3</v>
      </c>
      <c r="B2248" t="s">
        <v>6</v>
      </c>
      <c r="C2248" s="2" t="s">
        <v>1610</v>
      </c>
      <c r="D2248" s="32"/>
      <c r="E2248" s="35" t="s">
        <v>3233</v>
      </c>
    </row>
    <row r="2249" spans="1:5" x14ac:dyDescent="0.2">
      <c r="B2249" s="38"/>
    </row>
    <row r="2250" spans="1:5" x14ac:dyDescent="0.2">
      <c r="B2250" s="3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קטגוריות מוצרים</vt:lpstr>
      <vt:lpstr>קטלוג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2010-05-08T13:51:12Z</dcterms:created>
  <dcterms:modified xsi:type="dcterms:W3CDTF">2024-04-06T14:52:15Z</dcterms:modified>
</cp:coreProperties>
</file>